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756" windowWidth="14724" windowHeight="75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Sheet1!$B$1:$B$5678</definedName>
    <definedName name="_xlnm.Print_Area" localSheetId="0">Sheet1!$A$1:$C$5673</definedName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A2440" i="1" l="1"/>
  <c r="A2699" i="1"/>
  <c r="A1418" i="1"/>
  <c r="A1248" i="1"/>
  <c r="A1005" i="1"/>
  <c r="A1715" i="1"/>
  <c r="A1543" i="1"/>
  <c r="A1645" i="1"/>
  <c r="A1545" i="1"/>
  <c r="A283" i="1"/>
  <c r="A1224" i="1"/>
  <c r="A99" i="1"/>
  <c r="A268" i="1"/>
  <c r="A238" i="1"/>
  <c r="A1235" i="1"/>
  <c r="A1921" i="1"/>
  <c r="A1220" i="1"/>
  <c r="A1390" i="1"/>
  <c r="A2195" i="1"/>
  <c r="A226" i="1"/>
  <c r="A2111" i="1"/>
  <c r="A2172" i="1"/>
  <c r="A1779" i="1"/>
  <c r="A1857" i="1"/>
  <c r="A282" i="1"/>
  <c r="A414" i="1"/>
  <c r="A2288" i="1"/>
  <c r="A2549" i="1"/>
  <c r="A357" i="1"/>
  <c r="A236" i="1"/>
  <c r="A187" i="1"/>
  <c r="A723" i="1"/>
  <c r="A454" i="1"/>
  <c r="A1384" i="1"/>
  <c r="A1383" i="1"/>
  <c r="A288" i="1"/>
  <c r="A1667" i="1"/>
  <c r="A1753" i="1"/>
  <c r="A2731" i="1"/>
  <c r="A944" i="1"/>
  <c r="A2164" i="1"/>
  <c r="A2298" i="1"/>
  <c r="A693" i="1"/>
  <c r="A2062" i="1"/>
  <c r="A1149" i="1"/>
  <c r="A2063" i="1"/>
  <c r="A1699" i="1"/>
  <c r="A425" i="1"/>
  <c r="A1338" i="1"/>
  <c r="A16" i="1"/>
  <c r="A17" i="1"/>
  <c r="A2799" i="1"/>
  <c r="A2694" i="1"/>
  <c r="A349" i="1"/>
  <c r="A348" i="1"/>
  <c r="A2231" i="1"/>
  <c r="A1531" i="1"/>
  <c r="A689" i="1"/>
  <c r="A2089" i="1"/>
  <c r="A2776" i="1"/>
  <c r="A1055" i="1"/>
  <c r="A844" i="1"/>
  <c r="A2294" i="1"/>
  <c r="A1331" i="1"/>
  <c r="A2353" i="1"/>
  <c r="A1404" i="1"/>
  <c r="A183" i="1"/>
  <c r="A1419" i="1"/>
  <c r="A1515" i="1"/>
  <c r="A509" i="1"/>
  <c r="A2126" i="1"/>
  <c r="A2582" i="1"/>
  <c r="A2581" i="1"/>
  <c r="A1448" i="1"/>
  <c r="A933" i="1"/>
  <c r="A2563" i="1"/>
  <c r="A2728" i="1"/>
  <c r="A2700" i="1"/>
  <c r="A507" i="1"/>
  <c r="A384" i="1"/>
  <c r="A719" i="1"/>
  <c r="A267" i="1"/>
  <c r="A1473" i="1"/>
  <c r="A257" i="1"/>
  <c r="A1825" i="1"/>
  <c r="A98" i="1"/>
  <c r="A510" i="1"/>
  <c r="A444" i="1"/>
  <c r="A2405" i="1"/>
  <c r="A2404" i="1"/>
  <c r="A1758" i="1"/>
  <c r="A2742" i="1"/>
  <c r="A2739" i="1"/>
  <c r="A1370" i="1"/>
  <c r="A1893" i="1"/>
  <c r="A1119" i="1"/>
  <c r="A1026" i="1"/>
  <c r="A924" i="1"/>
  <c r="A479" i="1"/>
  <c r="A2510" i="1"/>
  <c r="A2634" i="1"/>
  <c r="A2621" i="1"/>
  <c r="A351" i="1"/>
  <c r="A1945" i="1"/>
  <c r="A2737" i="1"/>
  <c r="A2116" i="1"/>
  <c r="A2452" i="1"/>
  <c r="A1275" i="1"/>
  <c r="A1453" i="1"/>
  <c r="A1555" i="1"/>
  <c r="A2420" i="1"/>
  <c r="A765" i="1"/>
  <c r="A608" i="1"/>
  <c r="A2734" i="1"/>
  <c r="A2016" i="1"/>
  <c r="A2636" i="1"/>
  <c r="A321" i="1"/>
  <c r="A644" i="1"/>
  <c r="A1661" i="1"/>
  <c r="A2738" i="1"/>
  <c r="A2735" i="1"/>
  <c r="A867" i="1"/>
  <c r="A610" i="1"/>
  <c r="A609" i="1"/>
  <c r="A465" i="1"/>
  <c r="A401" i="1"/>
  <c r="A1468" i="1"/>
  <c r="A1703" i="1"/>
  <c r="A103" i="1"/>
  <c r="A445" i="1"/>
  <c r="A400" i="1"/>
  <c r="A399" i="1"/>
  <c r="A397" i="1"/>
  <c r="A296" i="1"/>
  <c r="A295" i="1"/>
  <c r="A2159" i="1"/>
  <c r="A2022" i="1"/>
  <c r="A1985" i="1"/>
  <c r="A1373" i="1"/>
  <c r="A1438" i="1"/>
  <c r="A279" i="1"/>
  <c r="A519" i="1"/>
  <c r="A1541" i="1"/>
  <c r="A1539" i="1"/>
  <c r="A1188" i="1"/>
  <c r="A1350" i="1"/>
  <c r="A800" i="1"/>
  <c r="A294" i="1"/>
  <c r="A210" i="1"/>
  <c r="A1905" i="1"/>
  <c r="A2237" i="1"/>
  <c r="A1416" i="1"/>
  <c r="A2766" i="1"/>
  <c r="A2038" i="1"/>
  <c r="A1820" i="1"/>
  <c r="A1028" i="1"/>
  <c r="A1024" i="1"/>
  <c r="A395" i="1"/>
  <c r="A2170" i="1"/>
  <c r="A1368" i="1"/>
  <c r="A2676" i="1"/>
  <c r="A74" i="1"/>
  <c r="A73" i="1"/>
  <c r="A1457" i="1"/>
  <c r="A1516" i="1"/>
  <c r="A376" i="1"/>
  <c r="A501" i="1"/>
  <c r="A328" i="1"/>
  <c r="A1488" i="1"/>
  <c r="A1010" i="1"/>
  <c r="A2024" i="1"/>
  <c r="A2256" i="1"/>
  <c r="A474" i="1"/>
  <c r="A713" i="1"/>
  <c r="A2553" i="1"/>
  <c r="A2425" i="1"/>
  <c r="A1146" i="1"/>
  <c r="A2329" i="1"/>
  <c r="A2395" i="1"/>
  <c r="A2426" i="1"/>
  <c r="A2127" i="1"/>
  <c r="A1956" i="1"/>
  <c r="A1957" i="1"/>
  <c r="A485" i="1"/>
  <c r="A223" i="1"/>
  <c r="A287" i="1"/>
  <c r="A2566" i="1"/>
  <c r="A1023" i="1"/>
  <c r="A1022" i="1"/>
  <c r="A1030" i="1"/>
  <c r="A1148" i="1"/>
  <c r="A2435" i="1"/>
  <c r="A2463" i="1"/>
  <c r="A2436" i="1"/>
  <c r="A2544" i="1"/>
  <c r="A2543" i="1"/>
  <c r="A2469" i="1"/>
  <c r="A2545" i="1"/>
  <c r="A1157" i="1"/>
  <c r="A1435" i="1"/>
  <c r="A898" i="1"/>
  <c r="A847" i="1"/>
  <c r="A769" i="1"/>
  <c r="A697" i="1"/>
  <c r="A533" i="1"/>
  <c r="A214" i="1"/>
  <c r="A1181" i="1"/>
  <c r="A786" i="1"/>
  <c r="A486" i="1"/>
  <c r="A44" i="1"/>
  <c r="A1451" i="1"/>
  <c r="A326" i="1"/>
  <c r="A1175" i="1"/>
  <c r="A1108" i="1"/>
  <c r="A852" i="1"/>
  <c r="A500" i="1"/>
  <c r="A2552" i="1"/>
  <c r="A2451" i="1"/>
  <c r="A2153" i="1"/>
  <c r="A2146" i="1"/>
  <c r="A2033" i="1"/>
  <c r="A1988" i="1"/>
  <c r="A1977" i="1"/>
  <c r="A1510" i="1"/>
  <c r="A2277" i="1"/>
  <c r="A2090" i="1"/>
  <c r="A168" i="1"/>
  <c r="A1898" i="1"/>
  <c r="A173" i="1"/>
  <c r="A1450" i="1"/>
  <c r="A744" i="1"/>
  <c r="A1765" i="1"/>
  <c r="A2306" i="1"/>
  <c r="A2501" i="1"/>
  <c r="A1439" i="1"/>
  <c r="A2122" i="1"/>
  <c r="A2304" i="1"/>
  <c r="A1701" i="1"/>
  <c r="A1460" i="1"/>
  <c r="A1816" i="1"/>
  <c r="A1538" i="1"/>
  <c r="A695" i="1"/>
  <c r="A281" i="1"/>
  <c r="A280" i="1"/>
  <c r="A266" i="1"/>
  <c r="A237" i="1"/>
  <c r="A2741" i="1"/>
  <c r="A2740" i="1"/>
  <c r="A1924" i="1"/>
  <c r="A1186" i="1"/>
  <c r="A1925" i="1"/>
  <c r="A1503" i="1"/>
  <c r="A1206" i="1"/>
  <c r="A1606" i="1"/>
  <c r="A934" i="1"/>
  <c r="A763" i="1"/>
  <c r="A764" i="1"/>
  <c r="A433" i="1"/>
  <c r="A506" i="1"/>
  <c r="A390" i="1"/>
  <c r="A313" i="1"/>
  <c r="A1519" i="1"/>
  <c r="A1966" i="1"/>
  <c r="A497" i="1"/>
  <c r="A2551" i="1"/>
  <c r="A2384" i="1"/>
  <c r="A2428" i="1"/>
  <c r="A733" i="1"/>
  <c r="A2061" i="1"/>
  <c r="A2293" i="1"/>
  <c r="A2301" i="1"/>
  <c r="A2302" i="1"/>
  <c r="A2300" i="1"/>
  <c r="A10" i="1"/>
  <c r="A1431" i="1"/>
  <c r="A2722" i="1"/>
  <c r="A2421" i="1"/>
  <c r="A1036" i="1"/>
  <c r="A97" i="1"/>
  <c r="A670" i="1"/>
  <c r="A541" i="1"/>
  <c r="A651" i="1"/>
  <c r="A248" i="1"/>
  <c r="A2186" i="1"/>
  <c r="A1213" i="1"/>
  <c r="A1718" i="1"/>
  <c r="A1340" i="1"/>
  <c r="A1339" i="1"/>
  <c r="A492" i="1"/>
  <c r="A1158" i="1"/>
  <c r="A1696" i="1"/>
  <c r="A1208" i="1"/>
  <c r="A26" i="1"/>
  <c r="A222" i="1"/>
  <c r="A1870" i="1"/>
  <c r="A1868" i="1"/>
  <c r="A1869" i="1"/>
  <c r="A263" i="1"/>
  <c r="A1356" i="1"/>
  <c r="A1755" i="1"/>
  <c r="A1234" i="1"/>
  <c r="A1942" i="1"/>
  <c r="A1959" i="1"/>
  <c r="A2386" i="1"/>
  <c r="A893" i="1"/>
  <c r="A2364" i="1"/>
  <c r="A1129" i="1"/>
  <c r="A846" i="1"/>
  <c r="A1546" i="1"/>
  <c r="A2328" i="1"/>
  <c r="A2139" i="1"/>
  <c r="A923" i="1"/>
  <c r="A796" i="1"/>
  <c r="A316" i="1"/>
  <c r="A668" i="1"/>
  <c r="A1434" i="1"/>
  <c r="A1388" i="1"/>
  <c r="A1204" i="1"/>
  <c r="A431" i="1"/>
  <c r="A1163" i="1"/>
  <c r="A546" i="1"/>
  <c r="A655" i="1"/>
  <c r="A653" i="1"/>
  <c r="A2223" i="1"/>
  <c r="A1480" i="1"/>
  <c r="A2125" i="1"/>
  <c r="A1103" i="1"/>
  <c r="A1025" i="1"/>
  <c r="A538" i="1"/>
  <c r="A537" i="1"/>
  <c r="A2382" i="1"/>
  <c r="A2249" i="1"/>
  <c r="A18" i="1"/>
  <c r="A21" i="1"/>
  <c r="A20" i="1"/>
  <c r="A19" i="1"/>
  <c r="A1704" i="1"/>
  <c r="A460" i="1"/>
  <c r="A1016" i="1"/>
  <c r="A625" i="1"/>
  <c r="A1923" i="1"/>
  <c r="A437" i="1"/>
  <c r="A396" i="1"/>
  <c r="A409" i="1"/>
  <c r="A2724" i="1"/>
  <c r="A1004" i="1"/>
  <c r="A1027" i="1"/>
  <c r="A2727" i="1"/>
  <c r="A669" i="1"/>
  <c r="A1205" i="1"/>
  <c r="A1464" i="1"/>
  <c r="A2243" i="1"/>
  <c r="A601" i="1"/>
  <c r="A1172" i="1"/>
  <c r="A2108" i="1"/>
  <c r="A1286" i="1"/>
  <c r="A1289" i="1"/>
  <c r="A1282" i="1"/>
  <c r="A1967" i="1"/>
  <c r="A1087" i="1"/>
  <c r="A1290" i="1"/>
  <c r="A1288" i="1"/>
  <c r="A1291" i="1"/>
  <c r="A1287" i="1"/>
  <c r="A1283" i="1"/>
  <c r="A1099" i="1"/>
  <c r="A1171" i="1"/>
  <c r="A1285" i="1"/>
  <c r="A621" i="1"/>
  <c r="A1292" i="1"/>
  <c r="A2806" i="1"/>
  <c r="A1284" i="1"/>
  <c r="A1076" i="1"/>
  <c r="A2107" i="1"/>
  <c r="A1505" i="1"/>
  <c r="A1659" i="1"/>
  <c r="A1138" i="1"/>
  <c r="A1680" i="1"/>
  <c r="A2723" i="1"/>
  <c r="A2665" i="1"/>
  <c r="A1664" i="1"/>
  <c r="A1305" i="1"/>
  <c r="A1014" i="1"/>
  <c r="A86" i="1"/>
  <c r="A1534" i="1"/>
  <c r="A2381" i="1"/>
  <c r="A2378" i="1"/>
  <c r="A2339" i="1"/>
  <c r="A2221" i="1"/>
  <c r="A1089" i="1"/>
  <c r="A892" i="1"/>
  <c r="A1394" i="1"/>
  <c r="A2303" i="1"/>
  <c r="A2434" i="1"/>
  <c r="A2433" i="1"/>
  <c r="A2418" i="1"/>
  <c r="A2424" i="1"/>
  <c r="A2410" i="1"/>
  <c r="A2260" i="1"/>
  <c r="A2462" i="1"/>
  <c r="A886" i="1"/>
  <c r="A2028" i="1"/>
  <c r="A457" i="1"/>
  <c r="A2131" i="1"/>
  <c r="A871" i="1"/>
  <c r="A618" i="1"/>
  <c r="A2554" i="1"/>
  <c r="A2673" i="1"/>
  <c r="A2072" i="1"/>
  <c r="A1427" i="1"/>
  <c r="A1426" i="1"/>
  <c r="A1425" i="1"/>
  <c r="A2102" i="1"/>
  <c r="A2454" i="1"/>
  <c r="A1219" i="1"/>
  <c r="A604" i="1"/>
  <c r="A2236" i="1"/>
  <c r="A1808" i="1"/>
  <c r="A2092" i="1"/>
  <c r="A1345" i="1"/>
  <c r="A1354" i="1"/>
  <c r="A850" i="1"/>
  <c r="A1571" i="1"/>
  <c r="A1592" i="1"/>
  <c r="A1536" i="1"/>
  <c r="A2827" i="1"/>
  <c r="A1644" i="1"/>
  <c r="A819" i="1"/>
  <c r="A1809" i="1"/>
  <c r="A503" i="1"/>
  <c r="A505" i="1"/>
  <c r="A502" i="1"/>
  <c r="A1958" i="1"/>
  <c r="A504" i="1"/>
  <c r="A791" i="1"/>
  <c r="A629" i="1"/>
  <c r="A611" i="1"/>
  <c r="A253" i="1"/>
  <c r="A1441" i="1"/>
  <c r="A548" i="1"/>
  <c r="A1940" i="1"/>
  <c r="A2822" i="1"/>
  <c r="A2744" i="1"/>
  <c r="A1269" i="1"/>
  <c r="A1629" i="1"/>
  <c r="A405" i="1"/>
  <c r="A314" i="1"/>
  <c r="A686" i="1"/>
  <c r="A22" i="1"/>
  <c r="A818" i="1"/>
  <c r="A816" i="1"/>
  <c r="A817" i="1"/>
  <c r="A1216" i="1"/>
  <c r="A2401" i="1"/>
  <c r="A2403" i="1"/>
  <c r="A2402" i="1"/>
  <c r="A749" i="1"/>
  <c r="A172" i="1"/>
  <c r="A848" i="1"/>
  <c r="A2043" i="1"/>
  <c r="A841" i="1"/>
  <c r="A322" i="1"/>
  <c r="A1533" i="1"/>
  <c r="A2227" i="1"/>
  <c r="A1660" i="1"/>
  <c r="A1265" i="1"/>
  <c r="A2675" i="1"/>
  <c r="A2461" i="1"/>
  <c r="A1098" i="1"/>
  <c r="A2334" i="1"/>
  <c r="A690" i="1"/>
  <c r="A1491" i="1"/>
  <c r="A402" i="1"/>
  <c r="A2148" i="1"/>
  <c r="A2147" i="1"/>
  <c r="A339" i="1"/>
  <c r="A1490" i="1"/>
  <c r="A1261" i="1"/>
  <c r="A85" i="1"/>
  <c r="A87" i="1"/>
  <c r="A865" i="1"/>
  <c r="A755" i="1"/>
  <c r="A453" i="1"/>
  <c r="A1694" i="1"/>
  <c r="A446" i="1"/>
  <c r="A514" i="1"/>
  <c r="A738" i="1"/>
  <c r="A2546" i="1"/>
  <c r="A1018" i="1"/>
  <c r="A1814" i="1"/>
  <c r="A756" i="1"/>
  <c r="A1446" i="1"/>
  <c r="A1445" i="1"/>
  <c r="A812" i="1"/>
  <c r="A813" i="1"/>
  <c r="A356" i="1"/>
  <c r="A887" i="1"/>
  <c r="A888" i="1"/>
  <c r="A1164" i="1"/>
  <c r="A335" i="1"/>
  <c r="A662" i="1"/>
  <c r="A101" i="1"/>
  <c r="A663" i="1"/>
  <c r="A664" i="1"/>
  <c r="A665" i="1"/>
  <c r="A2067" i="1"/>
  <c r="A2068" i="1"/>
  <c r="A2069" i="1"/>
  <c r="A2070" i="1"/>
  <c r="A245" i="1"/>
  <c r="A88" i="1"/>
  <c r="A176" i="1"/>
  <c r="A1604" i="1"/>
  <c r="A1620" i="1"/>
  <c r="A2572" i="1"/>
  <c r="A483" i="1"/>
  <c r="A242" i="1"/>
  <c r="A394" i="1"/>
  <c r="A393" i="1"/>
  <c r="A2432" i="1"/>
  <c r="A2430" i="1"/>
  <c r="A1278" i="1"/>
  <c r="A1858" i="1"/>
  <c r="A1020" i="1"/>
  <c r="A1315" i="1"/>
  <c r="A1236" i="1"/>
  <c r="A1031" i="1"/>
  <c r="A2671" i="1"/>
  <c r="A2736" i="1"/>
  <c r="A2308" i="1"/>
  <c r="A2309" i="1"/>
  <c r="A2307" i="1"/>
  <c r="A553" i="1"/>
  <c r="A354" i="1"/>
  <c r="A842" i="1"/>
  <c r="A1517" i="1"/>
  <c r="A2343" i="1"/>
  <c r="A597" i="1"/>
  <c r="A727" i="1"/>
  <c r="A1309" i="1"/>
  <c r="A1874" i="1"/>
  <c r="A366" i="1"/>
  <c r="A482" i="1"/>
  <c r="A1588" i="1"/>
  <c r="A1312" i="1"/>
  <c r="A1304" i="1"/>
  <c r="A2134" i="1"/>
  <c r="A2133" i="1"/>
  <c r="A1106" i="1"/>
  <c r="A346" i="1"/>
  <c r="A345" i="1"/>
  <c r="A2692" i="1"/>
  <c r="A792" i="1"/>
  <c r="A1264" i="1"/>
  <c r="A575" i="1"/>
  <c r="A2561" i="1"/>
  <c r="A2627" i="1"/>
  <c r="A2611" i="1"/>
  <c r="A2567" i="1"/>
  <c r="A2783" i="1"/>
  <c r="A2530" i="1"/>
  <c r="A1717" i="1"/>
  <c r="A2664" i="1"/>
  <c r="A661" i="1"/>
  <c r="A1525" i="1"/>
  <c r="A561" i="1"/>
  <c r="A1502" i="1"/>
  <c r="A2338" i="1"/>
  <c r="A2779" i="1"/>
  <c r="A1634" i="1"/>
  <c r="A1633" i="1"/>
  <c r="A1625" i="1"/>
  <c r="A1623" i="1"/>
  <c r="A1675" i="1"/>
  <c r="A1612" i="1"/>
  <c r="A1618" i="1"/>
  <c r="A1276" i="1"/>
  <c r="A1372" i="1"/>
  <c r="A2169" i="1"/>
  <c r="A2765" i="1"/>
  <c r="A2764" i="1"/>
  <c r="A1277" i="1"/>
  <c r="A1029" i="1"/>
  <c r="A2229" i="1"/>
  <c r="A344" i="1"/>
  <c r="A896" i="1"/>
  <c r="A2795" i="1"/>
  <c r="A699" i="1"/>
  <c r="A2429" i="1"/>
  <c r="A1095" i="1"/>
  <c r="A1094" i="1"/>
  <c r="A640" i="1"/>
  <c r="A323" i="1"/>
  <c r="A1067" i="1"/>
  <c r="A2182" i="1"/>
  <c r="A635" i="1"/>
  <c r="A2200" i="1"/>
  <c r="A2196" i="1"/>
  <c r="A2821" i="1"/>
  <c r="A61" i="1"/>
  <c r="A2684" i="1"/>
  <c r="A1019" i="1"/>
  <c r="A2721" i="1"/>
  <c r="A516" i="1"/>
  <c r="A525" i="1"/>
  <c r="A524" i="1"/>
  <c r="A517" i="1"/>
  <c r="A523" i="1"/>
  <c r="A591" i="1"/>
  <c r="A619" i="1"/>
  <c r="A563" i="1"/>
  <c r="A2625" i="1"/>
  <c r="A607" i="1"/>
  <c r="A1828" i="1"/>
  <c r="A1033" i="1"/>
  <c r="A498" i="1"/>
  <c r="A2589" i="1"/>
  <c r="A2299" i="1"/>
  <c r="A261" i="1"/>
  <c r="A260" i="1"/>
  <c r="A1601" i="1"/>
  <c r="A851" i="1"/>
  <c r="A2345" i="1"/>
  <c r="A1049" i="1"/>
  <c r="A1493" i="1"/>
  <c r="A666" i="1"/>
  <c r="A49" i="1"/>
  <c r="A79" i="1"/>
  <c r="A184" i="1"/>
  <c r="A1890" i="1"/>
  <c r="A1032" i="1"/>
  <c r="A799" i="1"/>
  <c r="A859" i="1"/>
  <c r="A701" i="1"/>
  <c r="A2383" i="1"/>
  <c r="A197" i="1"/>
  <c r="A667" i="1"/>
  <c r="A2209" i="1"/>
  <c r="A1134" i="1"/>
  <c r="A1333" i="1"/>
  <c r="A1141" i="1"/>
  <c r="A1133" i="1"/>
  <c r="A1131" i="1"/>
  <c r="A1130" i="1"/>
  <c r="A2346" i="1"/>
  <c r="A1746" i="1"/>
  <c r="A798" i="1"/>
  <c r="A1440" i="1"/>
  <c r="A2592" i="1"/>
  <c r="A2591" i="1"/>
  <c r="A2565" i="1"/>
  <c r="A2234" i="1"/>
  <c r="A1815" i="1"/>
  <c r="A2819" i="1"/>
  <c r="A1223" i="1"/>
  <c r="A1666" i="1"/>
  <c r="A2468" i="1"/>
  <c r="A415" i="1"/>
  <c r="A2797" i="1"/>
  <c r="A2289" i="1"/>
  <c r="A2290" i="1"/>
  <c r="A404" i="1"/>
  <c r="A513" i="1"/>
  <c r="A2054" i="1"/>
  <c r="A722" i="1"/>
  <c r="A720" i="1"/>
  <c r="A1496" i="1"/>
  <c r="A1497" i="1"/>
  <c r="A1495" i="1"/>
  <c r="A194" i="1"/>
  <c r="A2775" i="1"/>
  <c r="A1192" i="1"/>
  <c r="A1194" i="1"/>
  <c r="A1191" i="1"/>
  <c r="A1193" i="1"/>
  <c r="A1351" i="1"/>
  <c r="A1306" i="1"/>
  <c r="A2267" i="1"/>
  <c r="A2247" i="1"/>
  <c r="A2166" i="1"/>
  <c r="A1013" i="1"/>
  <c r="A2687" i="1"/>
  <c r="A2132" i="1"/>
  <c r="A2191" i="1"/>
  <c r="A2679" i="1"/>
  <c r="A2083" i="1"/>
  <c r="A1513" i="1"/>
  <c r="A1514" i="1"/>
  <c r="A1314" i="1"/>
  <c r="A343" i="1"/>
  <c r="A1492" i="1"/>
  <c r="A1908" i="1"/>
  <c r="A787" i="1"/>
  <c r="A2713" i="1"/>
  <c r="A1878" i="1"/>
  <c r="A1349" i="1"/>
  <c r="A753" i="1"/>
  <c r="A1506" i="1"/>
  <c r="A1507" i="1"/>
  <c r="A2173" i="1"/>
  <c r="A2174" i="1"/>
  <c r="A2175" i="1"/>
  <c r="A2455" i="1"/>
  <c r="A1211" i="1"/>
  <c r="A696" i="1"/>
  <c r="A703" i="1"/>
  <c r="A704" i="1"/>
  <c r="A1207" i="1"/>
  <c r="A1467" i="1"/>
  <c r="A1819" i="1"/>
  <c r="A1818" i="1"/>
  <c r="A1465" i="1"/>
  <c r="A239" i="1"/>
  <c r="A1017" i="1"/>
  <c r="A1063" i="1"/>
  <c r="A599" i="1"/>
  <c r="A596" i="1"/>
  <c r="A587" i="1"/>
  <c r="A448" i="1"/>
  <c r="A2641" i="1"/>
  <c r="A434" i="1"/>
  <c r="A2161" i="1"/>
  <c r="A2160" i="1"/>
  <c r="A2322" i="1"/>
  <c r="A2321" i="1"/>
  <c r="A2015" i="1"/>
  <c r="A1064" i="1"/>
  <c r="A750" i="1"/>
  <c r="A743" i="1"/>
  <c r="A600" i="1"/>
  <c r="A595" i="1"/>
  <c r="A588" i="1"/>
  <c r="A456" i="1"/>
  <c r="A449" i="1"/>
  <c r="A2135" i="1"/>
  <c r="A2695" i="1"/>
  <c r="A1871" i="1"/>
  <c r="A774" i="1"/>
  <c r="A1487" i="1"/>
  <c r="A466" i="1"/>
  <c r="A23" i="1"/>
  <c r="A1006" i="1"/>
  <c r="A1486" i="1"/>
  <c r="A1262" i="1"/>
  <c r="A372" i="1"/>
  <c r="A373" i="1"/>
  <c r="A2348" i="1"/>
  <c r="A2347" i="1"/>
  <c r="A2031" i="1"/>
  <c r="A2594" i="1"/>
  <c r="A2593" i="1"/>
  <c r="A1151" i="1"/>
  <c r="A1117" i="1"/>
  <c r="A767" i="1"/>
  <c r="A2312" i="1"/>
  <c r="A2313" i="1"/>
  <c r="A420" i="1"/>
  <c r="A419" i="1"/>
  <c r="A2262" i="1"/>
  <c r="A2261" i="1"/>
  <c r="A2314" i="1"/>
  <c r="A2477" i="1"/>
  <c r="A1834" i="1"/>
  <c r="A1833" i="1"/>
  <c r="A1202" i="1"/>
  <c r="A1201" i="1"/>
  <c r="A469" i="1"/>
  <c r="A1396" i="1"/>
  <c r="A1197" i="1"/>
  <c r="A1198" i="1"/>
  <c r="A2310" i="1"/>
  <c r="A2297" i="1"/>
  <c r="A2780" i="1"/>
  <c r="A2266" i="1"/>
  <c r="A1257" i="1"/>
  <c r="A493" i="1"/>
  <c r="A491" i="1"/>
  <c r="A490" i="1"/>
  <c r="A2316" i="1"/>
  <c r="A2315" i="1"/>
  <c r="A2311" i="1"/>
  <c r="A1442" i="1"/>
  <c r="A25" i="1"/>
  <c r="A1933" i="1"/>
  <c r="A564" i="1"/>
  <c r="A1170" i="1"/>
  <c r="A771" i="1"/>
  <c r="A259" i="1"/>
  <c r="A1355" i="1"/>
  <c r="A1711" i="1"/>
  <c r="A369" i="1"/>
  <c r="A367" i="1"/>
  <c r="A364" i="1"/>
  <c r="A2324" i="1"/>
  <c r="A1611" i="1"/>
  <c r="A2124" i="1"/>
  <c r="A1379" i="1"/>
  <c r="A1168" i="1"/>
  <c r="A1963" i="1"/>
  <c r="A1311" i="1"/>
  <c r="A2730" i="1"/>
  <c r="A709" i="1"/>
  <c r="A708" i="1"/>
  <c r="A1683" i="1"/>
  <c r="A724" i="1"/>
  <c r="A728" i="1"/>
  <c r="A734" i="1"/>
  <c r="A1101" i="1"/>
  <c r="A2686" i="1"/>
  <c r="A1449" i="1"/>
  <c r="A1540" i="1"/>
  <c r="A1784" i="1"/>
  <c r="A2500" i="1"/>
  <c r="A2368" i="1"/>
  <c r="A2369" i="1"/>
  <c r="A1011" i="1"/>
  <c r="A80" i="1"/>
  <c r="A581" i="1"/>
  <c r="A638" i="1"/>
  <c r="A2470" i="1"/>
  <c r="A1710" i="1"/>
  <c r="A2802" i="1"/>
  <c r="A2807" i="1"/>
  <c r="A2808" i="1"/>
  <c r="A100" i="1"/>
  <c r="A1796" i="1"/>
  <c r="A1964" i="1"/>
  <c r="A478" i="1"/>
  <c r="A2073" i="1"/>
  <c r="A1883" i="1"/>
  <c r="A1600" i="1"/>
  <c r="A1470" i="1"/>
  <c r="A1698" i="1"/>
  <c r="A1770" i="1"/>
  <c r="A1776" i="1"/>
  <c r="A2518" i="1"/>
  <c r="A1401" i="1"/>
  <c r="A1936" i="1"/>
  <c r="A1471" i="1"/>
  <c r="A52" i="1"/>
  <c r="A1954" i="1"/>
  <c r="A1182" i="1"/>
  <c r="A1575" i="1"/>
  <c r="A2446" i="1"/>
  <c r="A2077" i="1"/>
  <c r="A1472" i="1"/>
  <c r="A683" i="1"/>
  <c r="A1199" i="1"/>
  <c r="A1576" i="1"/>
  <c r="A1613" i="1"/>
  <c r="A1628" i="1"/>
  <c r="A477" i="1"/>
  <c r="A1750" i="1"/>
  <c r="A1672" i="1"/>
  <c r="A731" i="1"/>
  <c r="A1580" i="1"/>
  <c r="A2216" i="1"/>
  <c r="A1862" i="1"/>
  <c r="A241" i="1"/>
  <c r="A801" i="1"/>
  <c r="A1728" i="1"/>
  <c r="A2587" i="1"/>
  <c r="A2586" i="1"/>
  <c r="A1754" i="1"/>
  <c r="A2495" i="1"/>
  <c r="A2494" i="1"/>
  <c r="A778" i="1"/>
  <c r="A1574" i="1"/>
  <c r="A2574" i="1"/>
  <c r="A2079" i="1"/>
  <c r="A2095" i="1"/>
  <c r="A2782" i="1"/>
  <c r="A2167" i="1"/>
  <c r="A2051" i="1"/>
  <c r="A1804" i="1"/>
  <c r="A1780" i="1"/>
  <c r="A1387" i="1"/>
  <c r="A1389" i="1"/>
  <c r="A82" i="1"/>
  <c r="A2685" i="1"/>
  <c r="A2583" i="1"/>
  <c r="A1597" i="1"/>
  <c r="A2450" i="1"/>
  <c r="A278" i="1"/>
  <c r="A680" i="1"/>
  <c r="A681" i="1"/>
  <c r="A654" i="1"/>
  <c r="A2245" i="1"/>
  <c r="A2259" i="1"/>
  <c r="A1891" i="1"/>
  <c r="A1335" i="1"/>
  <c r="A1433" i="1"/>
  <c r="A1369" i="1"/>
  <c r="A2568" i="1"/>
  <c r="A2570" i="1"/>
  <c r="A2569" i="1"/>
  <c r="A2573" i="1"/>
  <c r="A1626" i="1"/>
  <c r="A2635" i="1"/>
  <c r="A1529" i="1"/>
  <c r="A1889" i="1"/>
  <c r="A2130" i="1"/>
  <c r="A559" i="1"/>
  <c r="A2113" i="1"/>
  <c r="A2112" i="1"/>
  <c r="A2513" i="1"/>
  <c r="A1904" i="1"/>
  <c r="A773" i="1"/>
  <c r="A338" i="1"/>
  <c r="A337" i="1"/>
  <c r="A336" i="1"/>
  <c r="A170" i="1"/>
  <c r="A164" i="1"/>
  <c r="A72" i="1"/>
  <c r="A71" i="1"/>
  <c r="A2053" i="1"/>
  <c r="A2056" i="1"/>
  <c r="A1422" i="1"/>
  <c r="A1778" i="1"/>
  <c r="A2508" i="1"/>
  <c r="A2632" i="1"/>
  <c r="A2317" i="1"/>
  <c r="A2295" i="1"/>
  <c r="A1787" i="1"/>
  <c r="A2423" i="1"/>
  <c r="A2448" i="1"/>
  <c r="A747" i="1"/>
  <c r="A746" i="1"/>
  <c r="A624" i="1"/>
  <c r="A1640" i="1"/>
  <c r="A623" i="1"/>
  <c r="A487" i="1"/>
  <c r="A2826" i="1"/>
  <c r="A1896" i="1"/>
  <c r="A1865" i="1"/>
  <c r="A637" i="1"/>
  <c r="A2050" i="1"/>
  <c r="A1593" i="1"/>
  <c r="A2074" i="1"/>
  <c r="A2385" i="1"/>
  <c r="A1712" i="1"/>
  <c r="A1822" i="1"/>
  <c r="A2035" i="1"/>
  <c r="A499" i="1"/>
  <c r="A2623" i="1"/>
  <c r="A2021" i="1"/>
  <c r="A1310" i="1"/>
  <c r="A2571" i="1"/>
  <c r="A2036" i="1"/>
  <c r="A797" i="1"/>
  <c r="A1670" i="1"/>
  <c r="A2517" i="1"/>
  <c r="A2497" i="1"/>
  <c r="A1839" i="1"/>
  <c r="A2263" i="1"/>
  <c r="A2265" i="1"/>
  <c r="A1547" i="1"/>
  <c r="A2746" i="1"/>
  <c r="A1806" i="1"/>
  <c r="A1594" i="1"/>
  <c r="A1707" i="1"/>
  <c r="A443" i="1"/>
  <c r="A1296" i="1"/>
  <c r="A2800" i="1"/>
  <c r="A53" i="1"/>
  <c r="A580" i="1"/>
  <c r="A75" i="1"/>
  <c r="A228" i="1"/>
  <c r="A2801" i="1"/>
  <c r="A55" i="1"/>
  <c r="A1978" i="1"/>
  <c r="A2023" i="1"/>
  <c r="A1452" i="1"/>
  <c r="A2084" i="1"/>
  <c r="A2087" i="1"/>
  <c r="A1719" i="1"/>
  <c r="A1708" i="1"/>
  <c r="A1720" i="1"/>
  <c r="A2081" i="1"/>
  <c r="A2085" i="1"/>
  <c r="A2082" i="1"/>
  <c r="A1706" i="1"/>
  <c r="A712" i="1"/>
  <c r="A1512" i="1"/>
  <c r="A2415" i="1"/>
  <c r="A2693" i="1"/>
  <c r="A2715" i="1"/>
  <c r="A2688" i="1"/>
  <c r="A2689" i="1"/>
  <c r="A2690" i="1"/>
  <c r="A659" i="1"/>
  <c r="A583" i="1"/>
  <c r="A1705" i="1"/>
  <c r="A2086" i="1"/>
  <c r="A24" i="1"/>
  <c r="A1578" i="1"/>
  <c r="A1455" i="1"/>
  <c r="A1456" i="1"/>
  <c r="A832" i="1"/>
  <c r="A1671" i="1"/>
  <c r="A620" i="1"/>
  <c r="A1461" i="1"/>
  <c r="A2787" i="1"/>
  <c r="A2786" i="1"/>
  <c r="A2427" i="1"/>
  <c r="A1509" i="1"/>
  <c r="A849" i="1"/>
  <c r="A1147" i="1"/>
  <c r="A389" i="1"/>
  <c r="A388" i="1"/>
  <c r="A823" i="1"/>
  <c r="A1548" i="1"/>
  <c r="A631" i="1"/>
  <c r="A2255" i="1"/>
  <c r="A2412" i="1"/>
  <c r="A2411" i="1"/>
  <c r="A2511" i="1"/>
  <c r="A2230" i="1"/>
  <c r="A1730" i="1"/>
  <c r="A1689" i="1"/>
  <c r="A2473" i="1"/>
  <c r="A795" i="1"/>
  <c r="A2758" i="1"/>
  <c r="A2052" i="1"/>
  <c r="A1821" i="1"/>
  <c r="A2344" i="1"/>
  <c r="A1494" i="1"/>
  <c r="A1673" i="1"/>
  <c r="A1443" i="1"/>
  <c r="A2292" i="1"/>
  <c r="A1155" i="1"/>
  <c r="A1668" i="1"/>
  <c r="A398" i="1"/>
  <c r="A2628" i="1"/>
  <c r="A1260" i="1"/>
  <c r="A1669" i="1"/>
  <c r="A2101" i="1"/>
  <c r="A2168" i="1"/>
  <c r="A870" i="1"/>
  <c r="A1463" i="1"/>
  <c r="A2163" i="1"/>
  <c r="A1357" i="1"/>
  <c r="A427" i="1"/>
  <c r="A84" i="1"/>
  <c r="A1393" i="1"/>
  <c r="A459" i="1"/>
  <c r="A515" i="1"/>
  <c r="A1636" i="1"/>
  <c r="A1637" i="1"/>
  <c r="A2550" i="1"/>
  <c r="A11" i="1"/>
  <c r="A2760" i="1"/>
  <c r="A2756" i="1"/>
  <c r="A2817" i="1"/>
  <c r="A2818" i="1"/>
  <c r="A2519" i="1"/>
  <c r="A2644" i="1"/>
  <c r="A1245" i="1"/>
  <c r="A1362" i="1"/>
  <c r="A1366" i="1"/>
  <c r="A1364" i="1"/>
  <c r="A1363" i="1"/>
  <c r="A1365" i="1"/>
  <c r="A1244" i="1"/>
  <c r="A1240" i="1"/>
  <c r="A1239" i="1"/>
  <c r="A1243" i="1"/>
  <c r="A1241" i="1"/>
  <c r="A1242" i="1"/>
  <c r="A2768" i="1"/>
  <c r="A2238" i="1"/>
  <c r="A2239" i="1"/>
  <c r="A2269" i="1"/>
  <c r="A2755" i="1"/>
  <c r="A1183" i="1"/>
  <c r="A2555" i="1"/>
  <c r="A14" i="1"/>
  <c r="A2767" i="1"/>
  <c r="A1012" i="1"/>
  <c r="A1226" i="1"/>
  <c r="A2785" i="1"/>
  <c r="A814" i="1"/>
  <c r="A815" i="1"/>
  <c r="A51" i="1"/>
  <c r="A76" i="1"/>
  <c r="A1057" i="1"/>
  <c r="A1100" i="1"/>
  <c r="A1475" i="1"/>
  <c r="A2457" i="1"/>
  <c r="A2055" i="1"/>
  <c r="A1817" i="1"/>
  <c r="A2326" i="1"/>
  <c r="A2060" i="1"/>
  <c r="A676" i="1"/>
  <c r="A1037" i="1"/>
  <c r="A2474" i="1"/>
  <c r="A1716" i="1"/>
  <c r="A2716" i="1"/>
  <c r="A1605" i="1"/>
  <c r="A2199" i="1"/>
  <c r="A2674" i="1"/>
  <c r="A1273" i="1"/>
  <c r="A2532" i="1"/>
  <c r="A1263" i="1"/>
  <c r="A1271" i="1"/>
  <c r="A2472" i="1"/>
  <c r="A1374" i="1"/>
  <c r="A1773" i="1"/>
  <c r="A1398" i="1"/>
  <c r="A2714" i="1"/>
  <c r="A883" i="1"/>
  <c r="A932" i="1"/>
  <c r="A711" i="1"/>
  <c r="A54" i="1"/>
  <c r="A1935" i="1"/>
  <c r="A1934" i="1"/>
  <c r="A225" i="1"/>
  <c r="A880" i="1"/>
  <c r="A167" i="1"/>
  <c r="A1428" i="1"/>
  <c r="A2794" i="1"/>
  <c r="A495" i="1"/>
  <c r="A2217" i="1"/>
  <c r="A2064" i="1"/>
  <c r="A1989" i="1"/>
  <c r="A806" i="1"/>
  <c r="A2413" i="1"/>
  <c r="A1046" i="1"/>
  <c r="A1047" i="1"/>
  <c r="A1039" i="1"/>
  <c r="A1043" i="1"/>
  <c r="A1044" i="1"/>
  <c r="A2286" i="1"/>
  <c r="A2285" i="1"/>
  <c r="A2057" i="1"/>
  <c r="A1915" i="1"/>
  <c r="A1919" i="1"/>
  <c r="A1918" i="1"/>
  <c r="A878" i="1"/>
  <c r="A2352" i="1"/>
  <c r="A875" i="1"/>
  <c r="A874" i="1"/>
  <c r="A2784" i="1"/>
  <c r="A879" i="1"/>
  <c r="A873" i="1"/>
  <c r="A876" i="1"/>
  <c r="A877" i="1"/>
  <c r="A1501" i="1"/>
  <c r="A1038" i="1"/>
  <c r="A675" i="1"/>
  <c r="A656" i="1"/>
  <c r="A884" i="1"/>
  <c r="A882" i="1"/>
  <c r="A1847" i="1"/>
  <c r="A1140" i="1"/>
  <c r="A2226" i="1"/>
  <c r="A461" i="1"/>
  <c r="A2590" i="1"/>
  <c r="A463" i="1"/>
  <c r="A385" i="1"/>
  <c r="A1093" i="1"/>
  <c r="A2475" i="1"/>
  <c r="A1564" i="1"/>
  <c r="A837" i="1"/>
  <c r="A748" i="1"/>
  <c r="A2810" i="1"/>
  <c r="A2809" i="1"/>
  <c r="A352" i="1"/>
  <c r="A1485" i="1"/>
  <c r="A1210" i="1"/>
  <c r="A2228" i="1"/>
  <c r="A1713" i="1"/>
  <c r="A1775" i="1"/>
  <c r="A1762" i="1"/>
  <c r="A1764" i="1"/>
  <c r="A1763" i="1"/>
  <c r="A1714" i="1"/>
  <c r="A2319" i="1"/>
  <c r="A522" i="1"/>
  <c r="A1153" i="1"/>
  <c r="A2156" i="1"/>
  <c r="A2564" i="1"/>
  <c r="A102" i="1"/>
  <c r="A2185" i="1"/>
  <c r="A1399" i="1"/>
  <c r="A1631" i="1"/>
  <c r="A1797" i="1"/>
  <c r="A866" i="1"/>
  <c r="A862" i="1"/>
  <c r="A674" i="1"/>
  <c r="A1367" i="1"/>
  <c r="A2752" i="1"/>
  <c r="A1352" i="1"/>
  <c r="A2762" i="1"/>
  <c r="A1045" i="1"/>
  <c r="A2379" i="1"/>
  <c r="A1308" i="1"/>
  <c r="A853" i="1"/>
  <c r="A2076" i="1"/>
  <c r="A593" i="1"/>
  <c r="A845" i="1"/>
  <c r="A2503" i="1"/>
  <c r="A2753" i="1"/>
  <c r="A2652" i="1"/>
  <c r="A342" i="1"/>
  <c r="A1007" i="1"/>
  <c r="A1008" i="1"/>
  <c r="A2491" i="1"/>
  <c r="A2745" i="1"/>
  <c r="A28" i="1"/>
  <c r="A39" i="1"/>
  <c r="A46" i="1"/>
  <c r="A33" i="1"/>
  <c r="A34" i="1"/>
  <c r="A496" i="1"/>
  <c r="A1647" i="1"/>
  <c r="A1405" i="1"/>
  <c r="A1867" i="1"/>
  <c r="A1161" i="1"/>
  <c r="A1160" i="1"/>
  <c r="A1159" i="1"/>
  <c r="A745" i="1"/>
  <c r="A265" i="1"/>
  <c r="A809" i="1"/>
  <c r="A2179" i="1"/>
  <c r="A2823" i="1"/>
  <c r="A1744" i="1"/>
  <c r="A1745" i="1"/>
  <c r="A2253" i="1"/>
  <c r="A2748" i="1"/>
  <c r="A1293" i="1"/>
  <c r="A807" i="1"/>
  <c r="A2820" i="1"/>
  <c r="A2399" i="1"/>
  <c r="A2398" i="1"/>
  <c r="A1916" i="1"/>
  <c r="A274" i="1"/>
  <c r="A1617" i="1"/>
  <c r="A949" i="1"/>
  <c r="A1385" i="1"/>
  <c r="A1162" i="1"/>
  <c r="A1602" i="1"/>
  <c r="A759" i="1"/>
  <c r="A762" i="1"/>
  <c r="A757" i="1"/>
  <c r="A761" i="1"/>
  <c r="A380" i="1"/>
  <c r="A428" i="1"/>
  <c r="A758" i="1"/>
  <c r="A760" i="1"/>
  <c r="A2291" i="1"/>
  <c r="A2242" i="1"/>
  <c r="A2232" i="1"/>
  <c r="A2244" i="1"/>
  <c r="A679" i="1"/>
  <c r="A2203" i="1"/>
  <c r="A1334" i="1"/>
  <c r="A547" i="1"/>
  <c r="A2305" i="1"/>
  <c r="A240" i="1"/>
  <c r="A293" i="1"/>
  <c r="A355" i="1"/>
  <c r="A292" i="1"/>
  <c r="A2668" i="1"/>
  <c r="A362" i="1"/>
  <c r="A363" i="1"/>
  <c r="A29" i="1"/>
  <c r="A2643" i="1"/>
  <c r="A1751" i="1"/>
  <c r="A1584" i="1"/>
  <c r="A677" i="1"/>
  <c r="A1946" i="1"/>
  <c r="A894" i="1"/>
  <c r="A1852" i="1"/>
  <c r="A1864" i="1"/>
  <c r="A1500" i="1"/>
  <c r="A512" i="1"/>
  <c r="A2747" i="1"/>
  <c r="A1953" i="1"/>
  <c r="A1053" i="1"/>
  <c r="A1979" i="1"/>
  <c r="A382" i="1"/>
  <c r="A1346" i="1"/>
  <c r="A2332" i="1"/>
  <c r="A2284" i="1"/>
  <c r="A2283" i="1"/>
  <c r="A2282" i="1"/>
  <c r="A2540" i="1"/>
  <c r="A2529" i="1"/>
  <c r="A2528" i="1"/>
  <c r="A2527" i="1"/>
  <c r="A861" i="1"/>
  <c r="A864" i="1"/>
  <c r="A863" i="1"/>
  <c r="A1520" i="1"/>
  <c r="A1579" i="1"/>
  <c r="A952" i="1"/>
  <c r="A2198" i="1"/>
  <c r="A1824" i="1"/>
  <c r="A2763" i="1"/>
  <c r="A1875" i="1"/>
  <c r="A361" i="1"/>
  <c r="A358" i="1"/>
  <c r="A2155" i="1"/>
  <c r="A2129" i="1"/>
  <c r="A324" i="1"/>
  <c r="A2390" i="1"/>
  <c r="A2149" i="1"/>
  <c r="A718" i="1"/>
  <c r="A2030" i="1"/>
  <c r="A411" i="1"/>
  <c r="A2066" i="1"/>
  <c r="A2296" i="1"/>
  <c r="A1459" i="1"/>
  <c r="A1307" i="1"/>
  <c r="A1209" i="1"/>
  <c r="A360" i="1"/>
  <c r="A377" i="1"/>
  <c r="A315" i="1"/>
  <c r="A657" i="1"/>
  <c r="A374" i="1"/>
  <c r="A1926" i="1"/>
  <c r="A1444" i="1"/>
  <c r="A1436" i="1"/>
  <c r="A2044" i="1"/>
  <c r="A2273" i="1"/>
  <c r="A2274" i="1"/>
  <c r="A1697" i="1"/>
  <c r="A1596" i="1"/>
  <c r="A1113" i="1"/>
  <c r="A634" i="1"/>
  <c r="A2442" i="1"/>
  <c r="A2215" i="1"/>
  <c r="A78" i="1"/>
  <c r="A2710" i="1"/>
  <c r="A1642" i="1"/>
  <c r="A1873" i="1"/>
  <c r="A650" i="1"/>
  <c r="A1112" i="1"/>
  <c r="A2140" i="1"/>
  <c r="A508" i="1"/>
  <c r="A1302" i="1"/>
  <c r="A2359" i="1"/>
  <c r="A473" i="1"/>
  <c r="A341" i="1"/>
  <c r="A2097" i="1"/>
  <c r="A725" i="1"/>
  <c r="A1860" i="1"/>
  <c r="A1859" i="1"/>
  <c r="A1187" i="1"/>
  <c r="A2219" i="1"/>
  <c r="A2184" i="1"/>
  <c r="A2190" i="1"/>
  <c r="A1643" i="1"/>
  <c r="A77" i="1"/>
  <c r="A2096" i="1"/>
  <c r="A2045" i="1"/>
  <c r="A2380" i="1"/>
  <c r="A558" i="1"/>
  <c r="A557" i="1"/>
  <c r="A556" i="1"/>
  <c r="A163" i="1"/>
  <c r="A2407" i="1"/>
  <c r="A2342" i="1"/>
  <c r="A2340" i="1"/>
  <c r="A2336" i="1"/>
  <c r="A2318" i="1"/>
  <c r="A2254" i="1"/>
  <c r="A2235" i="1"/>
  <c r="A1887" i="1"/>
  <c r="A2498" i="1"/>
  <c r="A2771" i="1"/>
  <c r="A2770" i="1"/>
  <c r="A856" i="1"/>
  <c r="A2337" i="1"/>
  <c r="A67" i="1"/>
  <c r="A45" i="1"/>
  <c r="A843" i="1"/>
  <c r="A527" i="1"/>
  <c r="A169" i="1"/>
  <c r="A30" i="1"/>
  <c r="A1156" i="1"/>
  <c r="A739" i="1"/>
  <c r="A1885" i="1"/>
  <c r="A1511" i="1"/>
  <c r="A1478" i="1"/>
  <c r="A1377" i="1"/>
  <c r="A203" i="1"/>
  <c r="A2811" i="1"/>
  <c r="A2803" i="1"/>
  <c r="A1336" i="1"/>
  <c r="A1218" i="1"/>
  <c r="A857" i="1"/>
  <c r="A567" i="1"/>
  <c r="A566" i="1"/>
  <c r="A208" i="1"/>
  <c r="A207" i="1"/>
  <c r="A204" i="1"/>
  <c r="A192" i="1"/>
  <c r="A191" i="1"/>
  <c r="A190" i="1"/>
  <c r="A188" i="1"/>
  <c r="A182" i="1"/>
  <c r="A181" i="1"/>
  <c r="A410" i="1"/>
  <c r="A1015" i="1"/>
  <c r="A1766" i="1"/>
  <c r="A1185" i="1"/>
  <c r="A256" i="1"/>
  <c r="A255" i="1"/>
  <c r="A254" i="1"/>
  <c r="A249" i="1"/>
  <c r="A250" i="1"/>
  <c r="A252" i="1"/>
  <c r="A794" i="1"/>
  <c r="A2264" i="1"/>
  <c r="A165" i="1"/>
  <c r="A2091" i="1"/>
  <c r="A1214" i="1"/>
  <c r="A2278" i="1"/>
  <c r="A244" i="1"/>
  <c r="A243" i="1"/>
  <c r="A1203" i="1"/>
  <c r="A291" i="1"/>
  <c r="A290" i="1"/>
  <c r="A289" i="1"/>
  <c r="A2711" i="1"/>
  <c r="A2366" i="1"/>
  <c r="A2354" i="1"/>
  <c r="A1922" i="1"/>
  <c r="A1920" i="1"/>
  <c r="A2720" i="1"/>
  <c r="A1732" i="1"/>
  <c r="A1586" i="1"/>
  <c r="A945" i="1"/>
  <c r="A56" i="1"/>
  <c r="A475" i="1"/>
  <c r="A2726" i="1"/>
  <c r="A2698" i="1"/>
  <c r="A2697" i="1"/>
  <c r="A406" i="1"/>
  <c r="A2708" i="1"/>
  <c r="A2709" i="1"/>
  <c r="A1793" i="1"/>
  <c r="A1792" i="1"/>
  <c r="A926" i="1"/>
  <c r="A407" i="1"/>
  <c r="A2183" i="1"/>
  <c r="A2798" i="1"/>
  <c r="A2335" i="1"/>
  <c r="A50" i="1"/>
  <c r="A1424" i="1"/>
  <c r="A48" i="1"/>
  <c r="A1429" i="1"/>
  <c r="A1423" i="1"/>
  <c r="A272" i="1"/>
  <c r="A273" i="1"/>
  <c r="A247" i="1"/>
  <c r="A195" i="1"/>
  <c r="A275" i="1"/>
  <c r="A276" i="1"/>
  <c r="A246" i="1"/>
  <c r="A277" i="1"/>
  <c r="A584" i="1"/>
  <c r="A2493" i="1"/>
  <c r="A2678" i="1"/>
  <c r="A480" i="1"/>
  <c r="A930" i="1"/>
  <c r="A1702" i="1"/>
  <c r="A464" i="1"/>
  <c r="A2502" i="1"/>
  <c r="A2651" i="1"/>
  <c r="A2650" i="1"/>
  <c r="A2654" i="1"/>
  <c r="A2656" i="1"/>
  <c r="A895" i="1"/>
  <c r="A381" i="1"/>
  <c r="A780" i="1"/>
  <c r="A2367" i="1"/>
  <c r="A1430" i="1"/>
  <c r="A1150" i="1"/>
  <c r="A1684" i="1"/>
  <c r="A2761" i="1"/>
  <c r="A685" i="1"/>
  <c r="A2476" i="1"/>
  <c r="A1145" i="1"/>
  <c r="A1406" i="1"/>
  <c r="A1897" i="1"/>
  <c r="A925" i="1"/>
  <c r="A511" i="1"/>
  <c r="A1410" i="1"/>
  <c r="A2397" i="1"/>
  <c r="A2396" i="1"/>
  <c r="A782" i="1"/>
  <c r="A726" i="1"/>
  <c r="A897" i="1"/>
  <c r="A700" i="1"/>
  <c r="A2505" i="1"/>
  <c r="A334" i="1"/>
  <c r="A2658" i="1"/>
  <c r="A2657" i="1"/>
  <c r="A62" i="1"/>
  <c r="A206" i="1"/>
  <c r="A205" i="1"/>
  <c r="A370" i="1"/>
  <c r="A948" i="1"/>
  <c r="A2400" i="1"/>
  <c r="A2655" i="1"/>
  <c r="A2512" i="1"/>
  <c r="A2504" i="1"/>
  <c r="A1656" i="1"/>
  <c r="A258" i="1"/>
  <c r="A251" i="1"/>
  <c r="A1200" i="1"/>
  <c r="A1281" i="1"/>
  <c r="A371" i="1"/>
  <c r="A2171" i="1"/>
  <c r="A1771" i="1"/>
  <c r="A1774" i="1"/>
  <c r="A1772" i="1"/>
  <c r="A1412" i="1"/>
  <c r="A687" i="1"/>
  <c r="A678" i="1"/>
  <c r="A166" i="1"/>
  <c r="A1786" i="1"/>
  <c r="A1783" i="1"/>
  <c r="A1782" i="1"/>
  <c r="A1781" i="1"/>
  <c r="A1142" i="1"/>
  <c r="A2729" i="1"/>
  <c r="A2773" i="1"/>
  <c r="A2703" i="1"/>
  <c r="A2702" i="1"/>
  <c r="A2331" i="1"/>
  <c r="A2019" i="1"/>
  <c r="A2020" i="1"/>
  <c r="A1432" i="1"/>
  <c r="A1542" i="1"/>
  <c r="A1343" i="1"/>
  <c r="A1231" i="1"/>
  <c r="A2027" i="1"/>
  <c r="A1021" i="1"/>
  <c r="A387" i="1"/>
  <c r="A347" i="1"/>
  <c r="A2416" i="1"/>
  <c r="A706" i="1"/>
  <c r="A1982" i="1"/>
  <c r="A698" i="1"/>
  <c r="A269" i="1"/>
  <c r="A199" i="1"/>
  <c r="A1971" i="1"/>
  <c r="A1987" i="1"/>
  <c r="A1569" i="1"/>
  <c r="A1835" i="1"/>
  <c r="A1842" i="1"/>
  <c r="A1400" i="1"/>
  <c r="A332" i="1"/>
  <c r="A2707" i="1"/>
  <c r="A2706" i="1"/>
  <c r="A2119" i="1"/>
  <c r="A1407" i="1"/>
  <c r="A270" i="1"/>
  <c r="A768" i="1"/>
  <c r="A785" i="1"/>
  <c r="A1179" i="1"/>
  <c r="A2456" i="1"/>
  <c r="A1827" i="1"/>
  <c r="A1826" i="1"/>
  <c r="A1877" i="1"/>
  <c r="A1876" i="1"/>
  <c r="A1508" i="1"/>
  <c r="A458" i="1"/>
  <c r="A175" i="1"/>
  <c r="A1955" i="1"/>
  <c r="A1189" i="1"/>
  <c r="A627" i="1"/>
  <c r="A1378" i="1"/>
  <c r="A2499" i="1"/>
  <c r="A2276" i="1"/>
  <c r="A1132" i="1"/>
  <c r="A1589" i="1"/>
  <c r="A1552" i="1"/>
  <c r="A1553" i="1"/>
  <c r="A1560" i="1"/>
  <c r="A1573" i="1"/>
  <c r="A1174" i="1"/>
  <c r="A1139" i="1"/>
  <c r="A691" i="1"/>
  <c r="A2677" i="1"/>
  <c r="A1615" i="1"/>
  <c r="A2696" i="1"/>
  <c r="A2193" i="1"/>
  <c r="A2828" i="1"/>
  <c r="A927" i="1"/>
  <c r="A83" i="1"/>
  <c r="A1674" i="1"/>
  <c r="A1663" i="1"/>
  <c r="A1420" i="1"/>
  <c r="A2667" i="1"/>
  <c r="A2065" i="1"/>
  <c r="A928" i="1"/>
  <c r="A1581" i="1"/>
  <c r="A1685" i="1"/>
  <c r="A2187" i="1"/>
  <c r="A1641" i="1"/>
  <c r="A1280" i="1"/>
  <c r="A2250" i="1"/>
  <c r="A7" i="1"/>
  <c r="A2444" i="1"/>
  <c r="A1080" i="1"/>
  <c r="A2110" i="1"/>
  <c r="A1532" i="1"/>
  <c r="A1544" i="1"/>
  <c r="A1526" i="1"/>
  <c r="A1528" i="1"/>
  <c r="A1530" i="1"/>
  <c r="A1233" i="1"/>
  <c r="A2523" i="1"/>
  <c r="A2541" i="1"/>
  <c r="A2542" i="1"/>
  <c r="A2521" i="1"/>
  <c r="A2522" i="1"/>
  <c r="A2524" i="1"/>
  <c r="A2525" i="1"/>
  <c r="A2526" i="1"/>
  <c r="A622" i="1"/>
  <c r="A1639" i="1"/>
  <c r="A1638" i="1"/>
  <c r="A2825" i="1"/>
  <c r="A1556" i="1"/>
  <c r="A1557" i="1"/>
  <c r="A1558" i="1"/>
  <c r="A576" i="1"/>
  <c r="A189" i="1"/>
  <c r="A770" i="1"/>
  <c r="A423" i="1"/>
  <c r="A1968" i="1"/>
  <c r="A854" i="1"/>
  <c r="A2439" i="1"/>
  <c r="A2438" i="1"/>
  <c r="A2437" i="1"/>
  <c r="A1572" i="1"/>
  <c r="A1856" i="1"/>
  <c r="A1866" i="1"/>
  <c r="A2222" i="1"/>
  <c r="A1563" i="1"/>
  <c r="A1109" i="1"/>
  <c r="A1144" i="1"/>
  <c r="A1143" i="1"/>
  <c r="A378" i="1"/>
  <c r="A379" i="1"/>
  <c r="A271" i="1"/>
  <c r="A1082" i="1"/>
  <c r="A1081" i="1"/>
  <c r="A1844" i="1"/>
  <c r="A840" i="1"/>
  <c r="A1830" i="1"/>
  <c r="A1184" i="1"/>
  <c r="A2662" i="1"/>
  <c r="A2653" i="1"/>
  <c r="A2616" i="1"/>
  <c r="A1071" i="1"/>
  <c r="A1069" i="1"/>
  <c r="A1437" i="1"/>
  <c r="A592" i="1"/>
  <c r="A2777" i="1"/>
  <c r="A1621" i="1"/>
  <c r="A2109" i="1"/>
  <c r="A1128" i="1"/>
  <c r="A2360" i="1"/>
  <c r="A2059" i="1"/>
  <c r="A2058" i="1"/>
  <c r="A2029" i="1"/>
  <c r="A2013" i="1"/>
  <c r="A1823" i="1"/>
  <c r="A1562" i="1"/>
  <c r="A951" i="1"/>
  <c r="A383" i="1"/>
  <c r="A297" i="1"/>
  <c r="A2660" i="1"/>
  <c r="A467" i="1"/>
  <c r="A413" i="1"/>
  <c r="A613" i="1"/>
  <c r="A1845" i="1"/>
  <c r="A520" i="1"/>
  <c r="A1561" i="1"/>
  <c r="A632" i="1"/>
  <c r="A2701" i="1"/>
  <c r="A1332" i="1"/>
  <c r="A300" i="1"/>
  <c r="A777" i="1"/>
  <c r="A1909" i="1"/>
  <c r="A489" i="1"/>
  <c r="A2257" i="1"/>
  <c r="A1709" i="1"/>
  <c r="A2047" i="1"/>
  <c r="A2046" i="1"/>
  <c r="A2471" i="1"/>
  <c r="A1969" i="1"/>
  <c r="A1910" i="1"/>
  <c r="A1570" i="1"/>
  <c r="A1568" i="1"/>
  <c r="A1567" i="1"/>
  <c r="A1196" i="1"/>
  <c r="A740" i="1"/>
  <c r="A1756" i="1"/>
  <c r="A462" i="1"/>
  <c r="A1757" i="1"/>
  <c r="A1591" i="1"/>
  <c r="A1679" i="1"/>
  <c r="A1590" i="1"/>
  <c r="A1595" i="1"/>
  <c r="A2520" i="1"/>
  <c r="A732" i="1"/>
  <c r="A1610" i="1"/>
  <c r="A1609" i="1"/>
  <c r="A1608" i="1"/>
  <c r="A1810" i="1"/>
  <c r="A707" i="1"/>
  <c r="A2177" i="1"/>
  <c r="A2759" i="1"/>
  <c r="A2460" i="1"/>
  <c r="A1895" i="1"/>
  <c r="A1731" i="1"/>
  <c r="A1417" i="1"/>
  <c r="A1734" i="1"/>
  <c r="A1733" i="1"/>
  <c r="A1747" i="1"/>
  <c r="A235" i="1"/>
  <c r="A1454" i="1"/>
  <c r="A1739" i="1"/>
  <c r="A1741" i="1"/>
  <c r="A1736" i="1"/>
  <c r="A1479" i="1"/>
  <c r="A1740" i="1"/>
  <c r="A1735" i="1"/>
  <c r="A1650" i="1"/>
  <c r="A1622" i="1"/>
  <c r="A1616" i="1"/>
  <c r="A2320" i="1"/>
  <c r="A1079" i="1"/>
  <c r="A1118" i="1"/>
  <c r="A550" i="1"/>
  <c r="A552" i="1"/>
  <c r="A215" i="1"/>
  <c r="A212" i="1"/>
  <c r="A218" i="1"/>
  <c r="A2816" i="1"/>
  <c r="A2392" i="1"/>
  <c r="A2391" i="1"/>
  <c r="A2389" i="1"/>
  <c r="A2279" i="1"/>
  <c r="A1072" i="1"/>
  <c r="A368" i="1"/>
  <c r="A319" i="1"/>
  <c r="A421" i="1"/>
  <c r="A1059" i="1"/>
  <c r="A2189" i="1"/>
  <c r="A1126" i="1"/>
  <c r="A1627" i="1"/>
  <c r="A2220" i="1"/>
  <c r="A1624" i="1"/>
  <c r="A2681" i="1"/>
  <c r="A2680" i="1"/>
  <c r="A1635" i="1"/>
  <c r="A2682" i="1"/>
  <c r="A1632" i="1"/>
  <c r="A1489" i="1"/>
  <c r="A1447" i="1"/>
  <c r="A1737" i="1"/>
  <c r="A1738" i="1"/>
  <c r="A2272" i="1"/>
  <c r="A2271" i="1"/>
  <c r="A2258" i="1"/>
  <c r="A1476" i="1"/>
  <c r="A1687" i="1"/>
  <c r="A2188" i="1"/>
  <c r="A1086" i="1"/>
  <c r="A1085" i="1"/>
  <c r="A1061" i="1"/>
  <c r="A227" i="1"/>
  <c r="A156" i="1"/>
  <c r="A155" i="1"/>
  <c r="A154" i="1"/>
  <c r="A153" i="1"/>
  <c r="A152" i="1"/>
  <c r="A1761" i="1"/>
  <c r="A2094" i="1"/>
  <c r="A2105" i="1"/>
  <c r="A855" i="1"/>
  <c r="A1972" i="1"/>
  <c r="A1341" i="1"/>
  <c r="A692" i="1"/>
  <c r="A12" i="1"/>
  <c r="A2661" i="1"/>
  <c r="A2492" i="1"/>
  <c r="A1136" i="1"/>
  <c r="A1135" i="1"/>
  <c r="A1861" i="1"/>
  <c r="A1295" i="1"/>
  <c r="A2579" i="1"/>
  <c r="A2577" i="1"/>
  <c r="A2575" i="1"/>
  <c r="A2103" i="1"/>
  <c r="A2815" i="1"/>
  <c r="A2375" i="1"/>
  <c r="A1652" i="1"/>
  <c r="A1421" i="1"/>
  <c r="A1380" i="1"/>
  <c r="A317" i="1"/>
  <c r="A2048" i="1"/>
  <c r="A2275" i="1"/>
  <c r="A1409" i="1"/>
  <c r="A2225" i="1"/>
  <c r="A1105" i="1"/>
  <c r="A1104" i="1"/>
  <c r="A839" i="1"/>
  <c r="A577" i="1"/>
  <c r="A127" i="1"/>
  <c r="A126" i="1"/>
  <c r="A133" i="1"/>
  <c r="A468" i="1"/>
  <c r="A1408" i="1"/>
  <c r="A2772" i="1"/>
  <c r="A630" i="1"/>
  <c r="A705" i="1"/>
  <c r="A735" i="1"/>
  <c r="A1655" i="1"/>
  <c r="A1070" i="1"/>
  <c r="A2362" i="1"/>
  <c r="A178" i="1"/>
  <c r="A1359" i="1"/>
  <c r="A1358" i="1"/>
  <c r="A128" i="1"/>
  <c r="A129" i="1"/>
  <c r="A1386" i="1"/>
  <c r="A2757" i="1"/>
  <c r="A1382" i="1"/>
  <c r="A1052" i="1"/>
  <c r="A1051" i="1"/>
  <c r="A1050" i="1"/>
  <c r="A6" i="1"/>
  <c r="A671" i="1"/>
  <c r="A2670" i="1"/>
  <c r="A1894" i="1"/>
  <c r="A2465" i="1"/>
  <c r="A2683" i="1"/>
  <c r="A885" i="1"/>
  <c r="A2732" i="1"/>
  <c r="A147" i="1"/>
  <c r="A375" i="1"/>
  <c r="A776" i="1"/>
  <c r="A2049" i="1"/>
  <c r="A1458" i="1"/>
  <c r="A2325" i="1"/>
  <c r="A1907" i="1"/>
  <c r="A935" i="1"/>
  <c r="A1392" i="1"/>
  <c r="A1360" i="1"/>
  <c r="A1535" i="1"/>
  <c r="A2443" i="1"/>
  <c r="A946" i="1"/>
  <c r="A1411" i="1"/>
  <c r="A2560" i="1"/>
  <c r="A2558" i="1"/>
  <c r="A2559" i="1"/>
  <c r="A2556" i="1"/>
  <c r="A2557" i="1"/>
  <c r="A1585" i="1"/>
  <c r="A2691" i="1"/>
  <c r="A1074" i="1"/>
  <c r="A2778" i="1"/>
  <c r="A2280" i="1"/>
  <c r="A820" i="1"/>
  <c r="A2100" i="1"/>
  <c r="A2268" i="1"/>
  <c r="A2373" i="1"/>
  <c r="A2372" i="1"/>
  <c r="A2371" i="1"/>
  <c r="A2370" i="1"/>
  <c r="A1225" i="1"/>
  <c r="A649" i="1"/>
  <c r="A578" i="1"/>
  <c r="A572" i="1"/>
  <c r="A568" i="1"/>
  <c r="A1303" i="1"/>
  <c r="A2829" i="1"/>
  <c r="A2449" i="1"/>
  <c r="A633" i="1"/>
  <c r="A1662" i="1"/>
  <c r="A476" i="1"/>
  <c r="A2018" i="1"/>
  <c r="A1952" i="1"/>
  <c r="A1342" i="1"/>
  <c r="A1249" i="1"/>
  <c r="A1246" i="1"/>
  <c r="A1232" i="1"/>
  <c r="A1230" i="1"/>
  <c r="A1229" i="1"/>
  <c r="A1068" i="1"/>
  <c r="A721" i="1"/>
  <c r="A2422" i="1"/>
  <c r="A1970" i="1"/>
  <c r="A2121" i="1"/>
  <c r="A2150" i="1"/>
  <c r="A2120" i="1"/>
  <c r="A1986" i="1"/>
  <c r="A1984" i="1"/>
  <c r="A1983" i="1"/>
  <c r="A1912" i="1"/>
  <c r="A779" i="1"/>
  <c r="A350" i="1"/>
  <c r="A783" i="1"/>
  <c r="A1911" i="1"/>
  <c r="A530" i="1"/>
  <c r="A536" i="1"/>
  <c r="A2599" i="1"/>
  <c r="A2496" i="1"/>
  <c r="A2466" i="1"/>
  <c r="A2459" i="1"/>
  <c r="A2458" i="1"/>
  <c r="A1318" i="1"/>
  <c r="A1317" i="1"/>
  <c r="A1329" i="1"/>
  <c r="A1328" i="1"/>
  <c r="A1326" i="1"/>
  <c r="A1327" i="1"/>
  <c r="A1325" i="1"/>
  <c r="A1324" i="1"/>
  <c r="A1323" i="1"/>
  <c r="A1322" i="1"/>
  <c r="A1321" i="1"/>
  <c r="A1320" i="1"/>
  <c r="A1319" i="1"/>
  <c r="A1316" i="1"/>
  <c r="A2659" i="1"/>
  <c r="A229" i="1"/>
  <c r="A41" i="1"/>
  <c r="A2349" i="1"/>
  <c r="A1906" i="1"/>
  <c r="A1752" i="1"/>
  <c r="A833" i="1"/>
  <c r="A2588" i="1"/>
  <c r="A554" i="1"/>
  <c r="A2281" i="1"/>
  <c r="A1009" i="1"/>
  <c r="A60" i="1"/>
  <c r="A1932" i="1"/>
  <c r="A2180" i="1"/>
  <c r="A2178" i="1"/>
  <c r="A2218" i="1"/>
  <c r="A116" i="1"/>
  <c r="A299" i="1"/>
  <c r="A1630" i="1"/>
  <c r="A1034" i="1"/>
  <c r="A1768" i="1"/>
  <c r="A1767" i="1"/>
  <c r="A2355" i="1"/>
  <c r="A1482" i="1"/>
  <c r="A122" i="1"/>
  <c r="A118" i="1"/>
  <c r="A96" i="1"/>
  <c r="A2612" i="1"/>
  <c r="A1950" i="1"/>
  <c r="A643" i="1"/>
  <c r="A642" i="1"/>
  <c r="A1270" i="1"/>
  <c r="A2287" i="1"/>
  <c r="A217" i="1"/>
  <c r="A220" i="1"/>
  <c r="A646" i="1"/>
  <c r="A555" i="1"/>
  <c r="A47" i="1"/>
  <c r="A69" i="1"/>
  <c r="A68" i="1"/>
  <c r="A1274" i="1"/>
  <c r="A2098" i="1"/>
  <c r="A1599" i="1"/>
  <c r="A1598" i="1"/>
  <c r="A2080" i="1"/>
  <c r="A2088" i="1"/>
  <c r="A1462" i="1"/>
  <c r="A1469" i="1"/>
  <c r="A2078" i="1"/>
  <c r="A2093" i="1"/>
  <c r="A602" i="1"/>
  <c r="A2363" i="1"/>
  <c r="A450" i="1"/>
  <c r="A2804" i="1"/>
  <c r="A1371" i="1"/>
  <c r="A2805" i="1"/>
  <c r="A340" i="1"/>
  <c r="A2104" i="1"/>
  <c r="A177" i="1"/>
  <c r="A1403" i="1"/>
  <c r="A193" i="1"/>
  <c r="A224" i="1"/>
  <c r="A702" i="1"/>
  <c r="A2197" i="1"/>
  <c r="A2769" i="1"/>
  <c r="A2214" i="1"/>
  <c r="A1065" i="1"/>
  <c r="A1927" i="1"/>
  <c r="A1930" i="1"/>
  <c r="A1929" i="1"/>
  <c r="A1928" i="1"/>
  <c r="A331" i="1"/>
  <c r="A1107" i="1"/>
  <c r="A2323" i="1"/>
  <c r="A1083" i="1"/>
  <c r="A1096" i="1"/>
  <c r="A333" i="1"/>
  <c r="A1077" i="1"/>
  <c r="A1195" i="1"/>
  <c r="A2547" i="1"/>
  <c r="A2374" i="1"/>
  <c r="A2365" i="1"/>
  <c r="A2514" i="1"/>
  <c r="A1092" i="1"/>
  <c r="A2445" i="1"/>
  <c r="A2467" i="1"/>
  <c r="A1499" i="1"/>
  <c r="A1337" i="1"/>
  <c r="A793" i="1"/>
  <c r="A137" i="1"/>
  <c r="A134" i="1"/>
  <c r="A135" i="1"/>
  <c r="A606" i="1"/>
  <c r="A545" i="1"/>
  <c r="A1582" i="1"/>
  <c r="A1749" i="1"/>
  <c r="A2211" i="1"/>
  <c r="A1676" i="1"/>
  <c r="A811" i="1"/>
  <c r="A1846" i="1"/>
  <c r="A737" i="1"/>
  <c r="A1917" i="1"/>
  <c r="A418" i="1"/>
  <c r="A999" i="1"/>
  <c r="A998" i="1"/>
  <c r="A2620" i="1"/>
  <c r="A585" i="1"/>
  <c r="A830" i="1"/>
  <c r="A2115" i="1"/>
  <c r="A108" i="1"/>
  <c r="A106" i="1"/>
  <c r="A110" i="1"/>
  <c r="A104" i="1"/>
  <c r="A109" i="1"/>
  <c r="A107" i="1"/>
  <c r="A105" i="1"/>
  <c r="A115" i="1"/>
  <c r="A114" i="1"/>
  <c r="A113" i="1"/>
  <c r="A111" i="1"/>
  <c r="A112" i="1"/>
  <c r="A303" i="1"/>
  <c r="A2642" i="1"/>
  <c r="A2609" i="1"/>
  <c r="A2464" i="1"/>
  <c r="A1376" i="1"/>
  <c r="A1649" i="1"/>
  <c r="A1651" i="1"/>
  <c r="A301" i="1"/>
  <c r="A729" i="1"/>
  <c r="A730" i="1"/>
  <c r="A828" i="1"/>
  <c r="A1805" i="1"/>
  <c r="A1583" i="1"/>
  <c r="A1504" i="1"/>
  <c r="A1566" i="1"/>
  <c r="A2026" i="1"/>
  <c r="A1931" i="1"/>
  <c r="A835" i="1"/>
  <c r="A805" i="1"/>
  <c r="A710" i="1"/>
  <c r="A1677" i="1"/>
  <c r="A2165" i="1"/>
  <c r="A309" i="1"/>
  <c r="A2548" i="1"/>
  <c r="A827" i="1"/>
  <c r="A2241" i="1"/>
  <c r="A1607" i="1"/>
  <c r="A1251" i="1"/>
  <c r="A392" i="1"/>
  <c r="A452" i="1"/>
  <c r="A391" i="1"/>
  <c r="A120" i="1"/>
  <c r="A2208" i="1"/>
  <c r="A1313" i="1"/>
  <c r="A872" i="1"/>
  <c r="A2580" i="1"/>
  <c r="A2578" i="1"/>
  <c r="A2576" i="1"/>
  <c r="A570" i="1"/>
  <c r="A318" i="1"/>
  <c r="A123" i="1"/>
  <c r="A2205" i="1"/>
  <c r="A1686" i="1"/>
  <c r="A1721" i="1"/>
  <c r="A1521" i="1"/>
  <c r="A1524" i="1"/>
  <c r="A2725" i="1"/>
  <c r="A1559" i="1"/>
  <c r="A804" i="1"/>
  <c r="A298" i="1"/>
  <c r="A1760" i="1"/>
  <c r="A784" i="1"/>
  <c r="A860" i="1"/>
  <c r="A1693" i="1"/>
  <c r="A435" i="1"/>
  <c r="A1965" i="1"/>
  <c r="A539" i="1"/>
  <c r="A1395" i="1"/>
  <c r="A1913" i="1"/>
  <c r="A1058" i="1"/>
  <c r="A232" i="1"/>
  <c r="A386" i="1"/>
  <c r="A308" i="1"/>
  <c r="A307" i="1"/>
  <c r="A305" i="1"/>
  <c r="A1084" i="1"/>
  <c r="A306" i="1"/>
  <c r="A603" i="1"/>
  <c r="A2039" i="1"/>
  <c r="A2233" i="1"/>
  <c r="A2341" i="1"/>
  <c r="A2356" i="1"/>
  <c r="A1619" i="1"/>
  <c r="A579" i="1"/>
  <c r="A532" i="1"/>
  <c r="A574" i="1"/>
  <c r="A233" i="1"/>
  <c r="A325" i="1"/>
  <c r="A751" i="1"/>
  <c r="A528" i="1"/>
  <c r="A1250" i="1"/>
  <c r="A1253" i="1"/>
  <c r="A1252" i="1"/>
  <c r="A752" i="1"/>
  <c r="A1872" i="1"/>
  <c r="A440" i="1"/>
  <c r="A441" i="1"/>
  <c r="A312" i="1"/>
  <c r="A311" i="1"/>
  <c r="A310" i="1"/>
  <c r="A451" i="1"/>
  <c r="A614" i="1"/>
  <c r="A617" i="1"/>
  <c r="A616" i="1"/>
  <c r="A615" i="1"/>
  <c r="A304" i="1"/>
  <c r="A302" i="1"/>
  <c r="A1837" i="1"/>
  <c r="A1048" i="1"/>
  <c r="A124" i="1"/>
  <c r="A89" i="1"/>
  <c r="A831" i="1"/>
  <c r="A836" i="1"/>
  <c r="A838" i="1"/>
  <c r="A834" i="1"/>
  <c r="A159" i="1"/>
  <c r="A196" i="1"/>
  <c r="A488" i="1"/>
  <c r="A216" i="1"/>
  <c r="A494" i="1"/>
  <c r="A174" i="1"/>
  <c r="A70" i="1"/>
  <c r="A1549" i="1"/>
  <c r="A2358" i="1"/>
  <c r="A2357" i="1"/>
  <c r="A2005" i="1"/>
  <c r="A1997" i="1"/>
  <c r="A1994" i="1"/>
  <c r="A1992" i="1"/>
  <c r="A754" i="1"/>
  <c r="A1301" i="1"/>
  <c r="A1294" i="1"/>
  <c r="A636" i="1"/>
  <c r="A628" i="1"/>
  <c r="A186" i="1"/>
  <c r="A2712" i="1"/>
  <c r="A2733" i="1"/>
  <c r="A2441" i="1"/>
  <c r="A38" i="1"/>
  <c r="A231" i="1"/>
  <c r="A234" i="1"/>
  <c r="A327" i="1"/>
  <c r="A543" i="1"/>
  <c r="A529" i="1"/>
  <c r="A526" i="1"/>
  <c r="A535" i="1"/>
  <c r="A736" i="1"/>
  <c r="A230" i="1"/>
  <c r="A544" i="1"/>
  <c r="A534" i="1"/>
  <c r="A219" i="1"/>
  <c r="A221" i="1"/>
  <c r="A573" i="1"/>
  <c r="A569" i="1"/>
  <c r="A1938" i="1"/>
  <c r="A2246" i="1"/>
  <c r="A2663" i="1"/>
  <c r="A714" i="1"/>
  <c r="A825" i="1"/>
  <c r="A1863" i="1"/>
  <c r="A1812" i="1"/>
  <c r="A1843" i="1"/>
  <c r="A1849" i="1"/>
  <c r="A2224" i="1"/>
  <c r="A1238" i="1"/>
  <c r="A605" i="1"/>
  <c r="A213" i="1"/>
  <c r="A162" i="1"/>
  <c r="A161" i="1"/>
  <c r="A160" i="1"/>
  <c r="A158" i="1"/>
  <c r="A157" i="1"/>
  <c r="A151" i="1"/>
  <c r="A150" i="1"/>
  <c r="A149" i="1"/>
  <c r="A148" i="1"/>
  <c r="A145" i="1"/>
  <c r="A146" i="1"/>
  <c r="A143" i="1"/>
  <c r="A144" i="1"/>
  <c r="A141" i="1"/>
  <c r="A142" i="1"/>
  <c r="A140" i="1"/>
  <c r="A139" i="1"/>
  <c r="A138" i="1"/>
  <c r="A136" i="1"/>
  <c r="A130" i="1"/>
  <c r="A131" i="1"/>
  <c r="A132" i="1"/>
  <c r="A121" i="1"/>
  <c r="A125" i="1"/>
  <c r="A119" i="1"/>
  <c r="A117" i="1"/>
  <c r="A90" i="1"/>
  <c r="A93" i="1"/>
  <c r="A95" i="1"/>
  <c r="A91" i="1"/>
  <c r="A92" i="1"/>
  <c r="A94" i="1"/>
  <c r="A1073" i="1"/>
  <c r="A1075" i="1"/>
  <c r="A1060" i="1"/>
  <c r="A1066" i="1"/>
  <c r="A652" i="1"/>
  <c r="A1466" i="1"/>
  <c r="A470" i="1"/>
  <c r="A1811" i="1"/>
  <c r="A2431" i="1"/>
  <c r="A2672" i="1"/>
  <c r="A1003" i="1"/>
  <c r="A1001" i="1"/>
  <c r="A1002" i="1"/>
  <c r="A1000" i="1"/>
  <c r="A590" i="1"/>
  <c r="A403" i="1"/>
  <c r="A2351" i="1"/>
  <c r="A1587" i="1"/>
  <c r="A2601" i="1"/>
  <c r="A1267" i="1"/>
  <c r="A868" i="1"/>
  <c r="A1981" i="1"/>
  <c r="A1980" i="1"/>
  <c r="A1090" i="1"/>
  <c r="A2419" i="1"/>
  <c r="A2206" i="1"/>
  <c r="A2204" i="1"/>
  <c r="A2515" i="1"/>
  <c r="A881" i="1"/>
  <c r="A2152" i="1"/>
  <c r="A2151" i="1"/>
  <c r="A2154" i="1"/>
  <c r="A2128" i="1"/>
  <c r="A2075" i="1"/>
  <c r="A2071" i="1"/>
  <c r="A2017" i="1"/>
  <c r="A2004" i="1"/>
  <c r="A2001" i="1"/>
  <c r="A2000" i="1"/>
  <c r="A1998" i="1"/>
  <c r="A1996" i="1"/>
  <c r="A1995" i="1"/>
  <c r="A1993" i="1"/>
  <c r="A1807" i="1"/>
  <c r="A1759" i="1"/>
  <c r="A1614" i="1"/>
  <c r="A1353" i="1"/>
  <c r="A1272" i="1"/>
  <c r="A1228" i="1"/>
  <c r="A1221" i="1"/>
  <c r="A1137" i="1"/>
  <c r="A1111" i="1"/>
  <c r="A1110" i="1"/>
  <c r="A1523" i="1"/>
  <c r="A1227" i="1"/>
  <c r="A1062" i="1"/>
  <c r="A766" i="1"/>
  <c r="A598" i="1"/>
  <c r="A594" i="1"/>
  <c r="A1914" i="1"/>
  <c r="A639" i="1"/>
  <c r="A2118" i="1"/>
  <c r="A2350" i="1"/>
  <c r="A1054" i="1"/>
  <c r="A1960" i="1"/>
  <c r="A947" i="1"/>
  <c r="A1799" i="1"/>
  <c r="A1798" i="1"/>
  <c r="A1347" i="1"/>
  <c r="A2796" i="1"/>
  <c r="A1948" i="1"/>
  <c r="A426" i="1"/>
  <c r="A1769" i="1"/>
  <c r="A1944" i="1"/>
  <c r="A1777" i="1"/>
  <c r="A2704" i="1"/>
  <c r="A2394" i="1"/>
  <c r="A672" i="1"/>
  <c r="A1682" i="1"/>
  <c r="A1477" i="1"/>
  <c r="A171" i="1"/>
  <c r="A15" i="1"/>
  <c r="A13" i="1"/>
  <c r="A9" i="1"/>
  <c r="A429" i="1"/>
  <c r="A198" i="1"/>
  <c r="A1474" i="1"/>
  <c r="A2138" i="1"/>
  <c r="A202" i="1"/>
  <c r="A2361" i="1"/>
  <c r="A1190" i="1"/>
  <c r="A40" i="1"/>
  <c r="A436" i="1"/>
  <c r="A2213" i="1"/>
  <c r="A2596" i="1"/>
  <c r="A2781" i="1"/>
  <c r="A1700" i="1"/>
  <c r="A2212" i="1"/>
  <c r="A2210" i="1"/>
  <c r="A2032" i="1"/>
  <c r="A2162" i="1"/>
  <c r="A2619" i="1"/>
  <c r="A2618" i="1"/>
  <c r="A2534" i="1"/>
  <c r="A2533" i="1"/>
  <c r="A2538" i="1"/>
  <c r="A2537" i="1"/>
  <c r="A2536" i="1"/>
  <c r="A2535" i="1"/>
  <c r="A2531" i="1"/>
  <c r="A2539" i="1"/>
  <c r="A1884" i="1"/>
  <c r="A808" i="1"/>
  <c r="A2207" i="1"/>
  <c r="A1648" i="1"/>
  <c r="A65" i="1"/>
  <c r="A2774" i="1"/>
  <c r="A320" i="1"/>
  <c r="A1882" i="1"/>
  <c r="A1415" i="1"/>
  <c r="A772" i="1"/>
  <c r="A286" i="1"/>
  <c r="A1115" i="1"/>
  <c r="A1551" i="1"/>
  <c r="A1550" i="1"/>
  <c r="A1056" i="1"/>
  <c r="A1691" i="1"/>
  <c r="A1840" i="1"/>
  <c r="A1836" i="1"/>
  <c r="A1851" i="1"/>
  <c r="A997" i="1"/>
  <c r="A2516" i="1"/>
  <c r="A1795" i="1"/>
  <c r="A1217" i="1"/>
  <c r="A2622" i="1"/>
  <c r="A571" i="1"/>
  <c r="A810" i="1"/>
  <c r="A1748" i="1"/>
  <c r="A901" i="1"/>
  <c r="A1657" i="1"/>
  <c r="A442" i="1"/>
  <c r="A2387" i="1"/>
  <c r="A2388" i="1"/>
  <c r="A996" i="1"/>
  <c r="A995" i="1"/>
  <c r="A994" i="1"/>
  <c r="A993" i="1"/>
  <c r="A992" i="1"/>
  <c r="A991" i="1"/>
  <c r="A990" i="1"/>
  <c r="A989" i="1"/>
  <c r="A988" i="1"/>
  <c r="A987" i="1"/>
  <c r="A982" i="1"/>
  <c r="A943" i="1"/>
  <c r="A1681" i="1"/>
  <c r="A2754" i="1"/>
  <c r="A1941" i="1"/>
  <c r="A1646" i="1"/>
  <c r="A518" i="1"/>
  <c r="A439" i="1"/>
  <c r="A2705" i="1"/>
  <c r="A422" i="1"/>
  <c r="A2506" i="1"/>
  <c r="A1962" i="1"/>
  <c r="A1961" i="1"/>
  <c r="A626" i="1"/>
  <c r="A1999" i="1"/>
  <c r="A1165" i="1"/>
  <c r="A58" i="1"/>
  <c r="A775" i="1"/>
  <c r="A1237" i="1"/>
  <c r="A64" i="1"/>
  <c r="A63" i="1"/>
  <c r="A27" i="1"/>
  <c r="A1537" i="1"/>
  <c r="A1522" i="1"/>
  <c r="A37" i="1"/>
  <c r="A35" i="1"/>
  <c r="A32" i="1"/>
  <c r="A43" i="1"/>
  <c r="A42" i="1"/>
  <c r="A329" i="1"/>
  <c r="A330" i="1"/>
  <c r="A521" i="1"/>
  <c r="A821" i="1"/>
  <c r="A408" i="1"/>
  <c r="A1344" i="1"/>
  <c r="A2025" i="1"/>
  <c r="A942" i="1"/>
  <c r="A941" i="1"/>
  <c r="A940" i="1"/>
  <c r="A2099" i="1"/>
  <c r="A1949" i="1"/>
  <c r="A2393" i="1"/>
  <c r="A424" i="1"/>
  <c r="A560" i="1"/>
  <c r="A688" i="1"/>
  <c r="A1841" i="1"/>
  <c r="A1695" i="1"/>
  <c r="A2194" i="1"/>
  <c r="A2012" i="1"/>
  <c r="A2014" i="1"/>
  <c r="A2011" i="1"/>
  <c r="A2010" i="1"/>
  <c r="A2009" i="1"/>
  <c r="A2007" i="1"/>
  <c r="A2008" i="1"/>
  <c r="A2002" i="1"/>
  <c r="A1991" i="1"/>
  <c r="A1990" i="1"/>
  <c r="A2006" i="1"/>
  <c r="A2003" i="1"/>
  <c r="A1518" i="1"/>
  <c r="A589" i="1"/>
  <c r="A1665" i="1"/>
  <c r="A2330" i="1"/>
  <c r="A586" i="1"/>
  <c r="A447" i="1"/>
  <c r="A1088" i="1"/>
  <c r="A1116" i="1"/>
  <c r="A455" i="1"/>
  <c r="A2743" i="1"/>
  <c r="A430" i="1"/>
  <c r="A1078" i="1"/>
  <c r="A2377" i="1"/>
  <c r="A648" i="1"/>
  <c r="A2327" i="1"/>
  <c r="A1097" i="1"/>
  <c r="A2333" i="1"/>
  <c r="A1348" i="1"/>
  <c r="A889" i="1"/>
  <c r="A891" i="1"/>
  <c r="A890" i="1"/>
  <c r="A1091" i="1"/>
  <c r="A2719" i="1"/>
  <c r="A2106" i="1"/>
  <c r="A2202" i="1"/>
  <c r="A2181" i="1"/>
  <c r="A565" i="1"/>
  <c r="A1943" i="1"/>
  <c r="A660" i="1"/>
  <c r="A1124" i="1"/>
  <c r="A262" i="1"/>
  <c r="A824" i="1"/>
  <c r="A1838" i="1"/>
  <c r="A1042" i="1"/>
  <c r="A1035" i="1"/>
  <c r="A802" i="1"/>
  <c r="A803" i="1"/>
  <c r="A1937" i="1"/>
  <c r="A1813" i="1"/>
  <c r="A1939" i="1"/>
  <c r="A1654" i="1"/>
  <c r="A1743" i="1"/>
  <c r="A1742" i="1"/>
  <c r="A1947" i="1"/>
  <c r="A1154" i="1"/>
  <c r="A1152" i="1"/>
  <c r="A531" i="1"/>
  <c r="A1554" i="1"/>
  <c r="A1853" i="1"/>
  <c r="A2406" i="1"/>
  <c r="A2414" i="1"/>
  <c r="A641" i="1"/>
  <c r="A2201" i="1"/>
  <c r="A1854" i="1"/>
  <c r="A209" i="1"/>
  <c r="A211" i="1"/>
  <c r="A417" i="1"/>
  <c r="A542" i="1"/>
  <c r="A365" i="1"/>
  <c r="A359" i="1"/>
  <c r="A1256" i="1"/>
  <c r="A1255" i="1"/>
  <c r="A1881" i="1"/>
  <c r="A1880" i="1"/>
  <c r="A1879" i="1"/>
  <c r="A902" i="1"/>
  <c r="A1266" i="1"/>
  <c r="A788" i="1"/>
  <c r="A789" i="1"/>
  <c r="A790" i="1"/>
  <c r="A185" i="1"/>
  <c r="A1215" i="1"/>
  <c r="A936" i="1"/>
  <c r="A1127" i="1"/>
  <c r="A2717" i="1"/>
  <c r="A1724" i="1"/>
  <c r="A2613" i="1"/>
  <c r="A869" i="1"/>
  <c r="A1259" i="1"/>
  <c r="A1258" i="1"/>
  <c r="A1254" i="1"/>
  <c r="A1791" i="1"/>
  <c r="A1790" i="1"/>
  <c r="A2824" i="1"/>
  <c r="A2669" i="1"/>
  <c r="A1040" i="1"/>
  <c r="A1951" i="1"/>
  <c r="A264" i="1"/>
  <c r="A432" i="1"/>
  <c r="A1794" i="1"/>
  <c r="A673" i="1"/>
  <c r="A1899" i="1"/>
  <c r="A1722" i="1"/>
  <c r="A1903" i="1"/>
  <c r="A2453" i="1"/>
  <c r="A1173" i="1"/>
  <c r="A1397" i="1"/>
  <c r="A900" i="1"/>
  <c r="A858" i="1"/>
  <c r="A929" i="1"/>
  <c r="A2718" i="1"/>
  <c r="A2248" i="1"/>
  <c r="A2192" i="1"/>
  <c r="A1498" i="1"/>
  <c r="A2751" i="1"/>
  <c r="A2750" i="1"/>
  <c r="A694" i="1"/>
  <c r="A1886" i="1"/>
  <c r="A1725" i="1"/>
  <c r="A682" i="1"/>
  <c r="A1041" i="1"/>
  <c r="A950" i="1"/>
  <c r="A1726" i="1"/>
  <c r="A914" i="1"/>
  <c r="A913" i="1"/>
  <c r="A912" i="1"/>
  <c r="A911" i="1"/>
  <c r="A2626" i="1"/>
  <c r="A1723" i="1"/>
  <c r="A612" i="1"/>
  <c r="A1692" i="1"/>
  <c r="A829" i="1"/>
  <c r="A645" i="1"/>
  <c r="A1222" i="1"/>
  <c r="A822" i="1"/>
  <c r="A1888" i="1"/>
  <c r="A1402" i="1"/>
  <c r="A2145" i="1"/>
  <c r="A2144" i="1"/>
  <c r="A1976" i="1"/>
  <c r="A2142" i="1"/>
  <c r="A2141" i="1"/>
  <c r="A2136" i="1"/>
  <c r="A2137" i="1"/>
  <c r="A2143" i="1"/>
  <c r="A1975" i="1"/>
  <c r="A2123" i="1"/>
  <c r="A2117" i="1"/>
  <c r="A2040" i="1"/>
  <c r="A2037" i="1"/>
  <c r="A1974" i="1"/>
  <c r="A1973" i="1"/>
  <c r="A2034" i="1"/>
  <c r="A2158" i="1"/>
  <c r="A2157" i="1"/>
  <c r="A2041" i="1"/>
  <c r="A2114" i="1"/>
  <c r="A2042" i="1"/>
  <c r="A1902" i="1"/>
  <c r="A1900" i="1"/>
  <c r="A31" i="1"/>
  <c r="A1247" i="1"/>
  <c r="A742" i="1"/>
  <c r="A1299" i="1"/>
  <c r="A1297" i="1"/>
  <c r="A1300" i="1"/>
  <c r="A1298" i="1"/>
  <c r="A741" i="1"/>
  <c r="A285" i="1"/>
  <c r="A284" i="1"/>
  <c r="A1653" i="1"/>
  <c r="A1577" i="1"/>
  <c r="A1114" i="1"/>
  <c r="A353" i="1"/>
  <c r="A899" i="1"/>
  <c r="A180" i="1"/>
  <c r="A179" i="1"/>
  <c r="A8" i="1"/>
  <c r="A1484" i="1"/>
  <c r="A1727" i="1"/>
  <c r="A1169" i="1"/>
  <c r="A2270" i="1"/>
  <c r="A1123" i="1"/>
  <c r="A1122" i="1"/>
  <c r="A1121" i="1"/>
  <c r="A1120" i="1"/>
  <c r="A2251" i="1"/>
  <c r="A2252" i="1"/>
  <c r="A781" i="1"/>
  <c r="A81" i="1"/>
  <c r="A647" i="1"/>
  <c r="A2749" i="1"/>
  <c r="A1603" i="1"/>
  <c r="A1565" i="1"/>
  <c r="A1658" i="1"/>
  <c r="A1688" i="1"/>
  <c r="A36" i="1"/>
  <c r="A562" i="1"/>
  <c r="A412" i="1"/>
  <c r="A1803" i="1"/>
  <c r="A1802" i="1"/>
  <c r="A1801" i="1"/>
  <c r="A1800" i="1"/>
  <c r="A1789" i="1"/>
  <c r="A1788" i="1"/>
  <c r="A2624" i="1"/>
  <c r="A2606" i="1"/>
  <c r="A1481" i="1"/>
  <c r="A481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10" i="1"/>
  <c r="A909" i="1"/>
  <c r="A908" i="1"/>
  <c r="A907" i="1"/>
  <c r="A906" i="1"/>
  <c r="A905" i="1"/>
  <c r="A904" i="1"/>
  <c r="A903" i="1"/>
  <c r="A1892" i="1"/>
  <c r="A2813" i="1"/>
  <c r="A2630" i="1"/>
  <c r="A2629" i="1"/>
  <c r="A2812" i="1"/>
  <c r="A2647" i="1"/>
  <c r="A2646" i="1"/>
  <c r="A2640" i="1"/>
  <c r="A2639" i="1"/>
  <c r="A2637" i="1"/>
  <c r="A2631" i="1"/>
  <c r="A2614" i="1"/>
  <c r="A1414" i="1"/>
  <c r="A1180" i="1"/>
  <c r="A540" i="1"/>
  <c r="A2507" i="1"/>
  <c r="A1831" i="1"/>
  <c r="A931" i="1"/>
  <c r="A1413" i="1"/>
  <c r="A582" i="1"/>
  <c r="A1391" i="1"/>
  <c r="A1678" i="1"/>
  <c r="A2176" i="1"/>
  <c r="A1832" i="1"/>
  <c r="A2447" i="1"/>
  <c r="A57" i="1"/>
  <c r="A1178" i="1"/>
  <c r="A1527" i="1"/>
  <c r="A2417" i="1"/>
  <c r="A2585" i="1"/>
  <c r="A2649" i="1"/>
  <c r="A1176" i="1"/>
  <c r="A1166" i="1"/>
  <c r="A1177" i="1"/>
  <c r="A2793" i="1"/>
  <c r="A2584" i="1"/>
  <c r="A826" i="1"/>
  <c r="A1901" i="1"/>
  <c r="A551" i="1"/>
  <c r="A549" i="1"/>
  <c r="A1729" i="1"/>
  <c r="A1125" i="1"/>
  <c r="A484" i="1"/>
  <c r="A1848" i="1"/>
  <c r="A1850" i="1"/>
  <c r="A1855" i="1"/>
  <c r="A1829" i="1"/>
  <c r="A1690" i="1"/>
  <c r="A2648" i="1"/>
  <c r="A2617" i="1"/>
  <c r="A2615" i="1"/>
  <c r="A2610" i="1"/>
  <c r="A2608" i="1"/>
  <c r="A2607" i="1"/>
  <c r="A2605" i="1"/>
  <c r="A2603" i="1"/>
  <c r="A2602" i="1"/>
  <c r="A2600" i="1"/>
  <c r="A2595" i="1"/>
  <c r="A1268" i="1"/>
  <c r="A1483" i="1"/>
  <c r="A2478" i="1"/>
  <c r="A1102" i="1"/>
  <c r="A2509" i="1"/>
  <c r="A986" i="1"/>
  <c r="A985" i="1"/>
  <c r="A2633" i="1"/>
  <c r="A2638" i="1"/>
  <c r="A2645" i="1"/>
  <c r="A2604" i="1"/>
  <c r="A1212" i="1"/>
  <c r="A66" i="1"/>
  <c r="A1381" i="1"/>
  <c r="A472" i="1"/>
  <c r="A1167" i="1"/>
  <c r="A1330" i="1"/>
  <c r="A1279" i="1"/>
  <c r="A2562" i="1"/>
  <c r="A2376" i="1"/>
  <c r="A2598" i="1"/>
  <c r="A2597" i="1"/>
  <c r="A2788" i="1"/>
  <c r="A2790" i="1"/>
  <c r="A2792" i="1"/>
  <c r="A2791" i="1"/>
  <c r="A2789" i="1"/>
  <c r="A1375" i="1"/>
  <c r="A2666" i="1"/>
  <c r="A5" i="1"/>
  <c r="A939" i="1"/>
  <c r="A938" i="1"/>
  <c r="A937" i="1"/>
  <c r="A984" i="1"/>
  <c r="A983" i="1"/>
  <c r="A922" i="1"/>
  <c r="A921" i="1"/>
  <c r="A920" i="1"/>
  <c r="A919" i="1"/>
  <c r="A918" i="1"/>
  <c r="A917" i="1"/>
  <c r="A916" i="1"/>
  <c r="A915" i="1"/>
</calcChain>
</file>

<file path=xl/sharedStrings.xml><?xml version="1.0" encoding="utf-8"?>
<sst xmlns="http://schemas.openxmlformats.org/spreadsheetml/2006/main" count="8246" uniqueCount="4824">
  <si>
    <t>Part Number</t>
  </si>
  <si>
    <t>WSHLD AY</t>
  </si>
  <si>
    <t>WINDSHIELD</t>
  </si>
  <si>
    <t>WINDSHIELD AY</t>
  </si>
  <si>
    <t>WINDOW</t>
  </si>
  <si>
    <t>Description</t>
  </si>
  <si>
    <t>B3-13141</t>
  </si>
  <si>
    <t>Switch</t>
  </si>
  <si>
    <t>LED BASE ASSY.</t>
  </si>
  <si>
    <t>LED CAP ASSY.</t>
  </si>
  <si>
    <t>LED INDICATOR</t>
  </si>
  <si>
    <t>LAMP</t>
  </si>
  <si>
    <t>83.450.002</t>
  </si>
  <si>
    <t>SWITCH</t>
  </si>
  <si>
    <t>83.452.501</t>
  </si>
  <si>
    <t>XDCR,2AXIS,4TERM,SENSITIV</t>
  </si>
  <si>
    <t>HOTAS COUGAR</t>
  </si>
  <si>
    <t>MS27467T13B35S</t>
  </si>
  <si>
    <t>PLUG</t>
  </si>
  <si>
    <t>M85049/49-2-12W</t>
  </si>
  <si>
    <t>CONTACT</t>
  </si>
  <si>
    <t>MS27467T15B35S</t>
  </si>
  <si>
    <t>CONNECTOR</t>
  </si>
  <si>
    <t>M85049/49-2-14W</t>
  </si>
  <si>
    <t>CABLE CLAMP</t>
  </si>
  <si>
    <t>MS27467T11B35S</t>
  </si>
  <si>
    <t>M85049/49-2-10W</t>
  </si>
  <si>
    <t>MS27467T9B98S</t>
  </si>
  <si>
    <t>M85049/49-2-8W</t>
  </si>
  <si>
    <t>CONNECTOR BACK SHELL</t>
  </si>
  <si>
    <t>MS27467T9B35S</t>
  </si>
  <si>
    <t>MS27472T14F35S</t>
  </si>
  <si>
    <t>RD238-B2B1</t>
  </si>
  <si>
    <t>APG6-1-41-102-A-01</t>
  </si>
  <si>
    <t>APG6-1-41-252-A-01</t>
  </si>
  <si>
    <t>APG6-1-41-502-A-01</t>
  </si>
  <si>
    <t>CIRCUIT BREAKER</t>
  </si>
  <si>
    <t>APG6-1-41-752-A-01</t>
  </si>
  <si>
    <t>APG666-1-41-252-A-01</t>
  </si>
  <si>
    <t>APG666-1-41-103-A-01</t>
  </si>
  <si>
    <t>APG666-1-41-502-A-01</t>
  </si>
  <si>
    <t>APG666-1-41-752-A-01</t>
  </si>
  <si>
    <t>APG6-1-61-252-A-01</t>
  </si>
  <si>
    <t>APG6-1-61-502-A-01</t>
  </si>
  <si>
    <t>APG6-1-51-502-A-01</t>
  </si>
  <si>
    <t>APG6-1-51-252-A-01</t>
  </si>
  <si>
    <t>APG6-1-51-102-A-01</t>
  </si>
  <si>
    <t>APG6-1-51-752-A-01</t>
  </si>
  <si>
    <t>APG6-1-51-103-1-01</t>
  </si>
  <si>
    <t>APG6-1-51-203-A-01</t>
  </si>
  <si>
    <t>APG6-1-61-203-A-01</t>
  </si>
  <si>
    <t>APG6-1-51-303-A-01</t>
  </si>
  <si>
    <t>RS350-210</t>
  </si>
  <si>
    <t>R929991000</t>
  </si>
  <si>
    <t>R929991002</t>
  </si>
  <si>
    <t>R929991004</t>
  </si>
  <si>
    <t>R644543000</t>
  </si>
  <si>
    <t>R644543001</t>
  </si>
  <si>
    <t>R644543002</t>
  </si>
  <si>
    <t>R644543003</t>
  </si>
  <si>
    <t>R644543004</t>
  </si>
  <si>
    <t>R928120</t>
  </si>
  <si>
    <t>R928121</t>
  </si>
  <si>
    <t>R928122</t>
  </si>
  <si>
    <t>R928123</t>
  </si>
  <si>
    <t>R928124</t>
  </si>
  <si>
    <t>R928140</t>
  </si>
  <si>
    <t>R928141</t>
  </si>
  <si>
    <t>R928142</t>
  </si>
  <si>
    <t>R928143</t>
  </si>
  <si>
    <t>R928144</t>
  </si>
  <si>
    <t>R928150</t>
  </si>
  <si>
    <t>R928151</t>
  </si>
  <si>
    <t>R928153</t>
  </si>
  <si>
    <t>R928154</t>
  </si>
  <si>
    <t>R644822</t>
  </si>
  <si>
    <t>R644823</t>
  </si>
  <si>
    <t>R921330</t>
  </si>
  <si>
    <t>R921331</t>
  </si>
  <si>
    <t>R921332</t>
  </si>
  <si>
    <t>R921333</t>
  </si>
  <si>
    <t>R921334</t>
  </si>
  <si>
    <t>R921336</t>
  </si>
  <si>
    <t>R941330</t>
  </si>
  <si>
    <t>R941331</t>
  </si>
  <si>
    <t>MS27466T23B53S</t>
  </si>
  <si>
    <t>MS27467T23B53P</t>
  </si>
  <si>
    <t>MS27466T15B19S</t>
  </si>
  <si>
    <t>MS27467T15B19P</t>
  </si>
  <si>
    <t>MS27466T15B15S</t>
  </si>
  <si>
    <t>MS27467T15B15P</t>
  </si>
  <si>
    <t>R928 152</t>
  </si>
  <si>
    <t>P4-10033</t>
  </si>
  <si>
    <t>P4-10044</t>
  </si>
  <si>
    <t>U2-084</t>
  </si>
  <si>
    <t>83.459.004</t>
  </si>
  <si>
    <t>83.452.504</t>
  </si>
  <si>
    <t>B3-12142</t>
  </si>
  <si>
    <t>B2-211351</t>
  </si>
  <si>
    <t>M85049/38S11S</t>
  </si>
  <si>
    <t>D38999/26WC98SN</t>
  </si>
  <si>
    <t>CALIBRATED</t>
  </si>
  <si>
    <t>MORSE KEY,4TH YAW</t>
  </si>
  <si>
    <t>CONNECTOR ASSY.</t>
  </si>
  <si>
    <t>T2-0008</t>
  </si>
  <si>
    <t>T5-0006</t>
  </si>
  <si>
    <t>5 DIGITS SWITCH</t>
  </si>
  <si>
    <t>M85049/38-25W</t>
  </si>
  <si>
    <t>CLAMP</t>
  </si>
  <si>
    <t>B2-112351</t>
  </si>
  <si>
    <t>KORRY 434 LED INDICATOR</t>
  </si>
  <si>
    <t>LAMP *WHITE LIGHT*</t>
  </si>
  <si>
    <t>HEATER AY.</t>
  </si>
  <si>
    <t>MS25244-7.5</t>
  </si>
  <si>
    <t>83.450.001</t>
  </si>
  <si>
    <t>S4001MS3</t>
  </si>
  <si>
    <t>SCREW</t>
  </si>
  <si>
    <t>CA3381</t>
  </si>
  <si>
    <t>MS27646-44G</t>
  </si>
  <si>
    <t>BEARING</t>
  </si>
  <si>
    <t>R6UC1ZA</t>
  </si>
  <si>
    <t>PLATE BRAKE</t>
  </si>
  <si>
    <t>PLUNGER</t>
  </si>
  <si>
    <t>R5Z10A</t>
  </si>
  <si>
    <t>SOLENDID</t>
  </si>
  <si>
    <t>switch</t>
  </si>
  <si>
    <t>SWITHCH</t>
  </si>
  <si>
    <t>L17310</t>
  </si>
  <si>
    <t>COVER</t>
  </si>
  <si>
    <t>CAP</t>
  </si>
  <si>
    <t>SPACER</t>
  </si>
  <si>
    <t>BLOCK</t>
  </si>
  <si>
    <t>SEAL</t>
  </si>
  <si>
    <t>CAPACITOR</t>
  </si>
  <si>
    <t>A3-06-1329</t>
  </si>
  <si>
    <t>MOUTHPIECE</t>
  </si>
  <si>
    <t>SPRING</t>
  </si>
  <si>
    <t>FLOAT</t>
  </si>
  <si>
    <t>R2T2SB962</t>
  </si>
  <si>
    <t>TRANSISTOR</t>
  </si>
  <si>
    <t>R8S10X7351</t>
  </si>
  <si>
    <t>R2IHD64F3434</t>
  </si>
  <si>
    <t>CPU</t>
  </si>
  <si>
    <t>FLOAT ASSY</t>
  </si>
  <si>
    <t>INDICATR-ELECTRO MAG CCW RETATIO</t>
  </si>
  <si>
    <t>D38999/26WE26PN</t>
  </si>
  <si>
    <t>HTW-2A CAT. NO. 03775-000</t>
  </si>
  <si>
    <t>TELEX TWINSET HEADPHONE</t>
  </si>
  <si>
    <t>BACC18AC05</t>
  </si>
  <si>
    <t>BREAKER</t>
  </si>
  <si>
    <t>SEAL ASSY</t>
  </si>
  <si>
    <t>RING</t>
  </si>
  <si>
    <t>TEE ASSY</t>
  </si>
  <si>
    <t>DIAPHRAGM</t>
  </si>
  <si>
    <t>CLIP</t>
  </si>
  <si>
    <t>MS27466T17B26P</t>
  </si>
  <si>
    <t>MS27466T15B35P</t>
  </si>
  <si>
    <t>MS27466T15B18P</t>
  </si>
  <si>
    <t>DT2RA7</t>
  </si>
  <si>
    <t>SWITCH ELEMENT</t>
  </si>
  <si>
    <t>D559B-1M-80</t>
  </si>
  <si>
    <t>RELIEF VALVE</t>
  </si>
  <si>
    <t>MOTOR</t>
  </si>
  <si>
    <t>A8416-1</t>
  </si>
  <si>
    <t>MS20995C032</t>
  </si>
  <si>
    <t>LOCK WIRE</t>
  </si>
  <si>
    <t>LAMP AY</t>
  </si>
  <si>
    <t>AR2511-8S77</t>
  </si>
  <si>
    <t>INDICATOR LATCH</t>
  </si>
  <si>
    <t>CA00075A</t>
  </si>
  <si>
    <t>ELEMENT</t>
  </si>
  <si>
    <t>UPPER SEPARATOR AY</t>
  </si>
  <si>
    <t>M25988-1-110</t>
  </si>
  <si>
    <t>O-RING</t>
  </si>
  <si>
    <t>XLD4A</t>
  </si>
  <si>
    <t>RELAY</t>
  </si>
  <si>
    <t>WAFER</t>
  </si>
  <si>
    <t>SWCH/ASSY</t>
  </si>
  <si>
    <t>R8U4X7001A</t>
  </si>
  <si>
    <t>STATOR</t>
  </si>
  <si>
    <t>VENTED NICKEL CADMIUM BATTERY</t>
  </si>
  <si>
    <t>BATTERY</t>
  </si>
  <si>
    <t>M39016/13-057L</t>
  </si>
  <si>
    <t>MS28774-010</t>
  </si>
  <si>
    <t>RETAINER</t>
  </si>
  <si>
    <t>MS28774-008</t>
  </si>
  <si>
    <t>MS28774-111</t>
  </si>
  <si>
    <t>MS28774-011</t>
  </si>
  <si>
    <t>PACKING</t>
  </si>
  <si>
    <t>MS28774-014</t>
  </si>
  <si>
    <t>AML718AS15-297</t>
  </si>
  <si>
    <t>VHP430KH</t>
  </si>
  <si>
    <t>C19347-104</t>
  </si>
  <si>
    <t>FRANGIBLE LINK ASSEMBLY (BLACK)</t>
  </si>
  <si>
    <t>C19347-105</t>
  </si>
  <si>
    <t>FRANGIBLE LINK ASSEMBLY(OLIVE DRAB GREEN</t>
  </si>
  <si>
    <t>C19347-119</t>
  </si>
  <si>
    <t>FRANGIBLE LINK ASSEMBLY (LIGHT GREEN)</t>
  </si>
  <si>
    <t>AC1436</t>
  </si>
  <si>
    <t>MS25271A1</t>
  </si>
  <si>
    <t>GEAR PINION TRANSFER</t>
  </si>
  <si>
    <t>MK363</t>
  </si>
  <si>
    <t>MOD KIT</t>
  </si>
  <si>
    <t>R5WP1A25A</t>
  </si>
  <si>
    <t>R8C16X7001</t>
  </si>
  <si>
    <t>GEAR AY</t>
  </si>
  <si>
    <t>R8C14X7001</t>
  </si>
  <si>
    <t>MOTOR ASSY</t>
  </si>
  <si>
    <t>KCAE4F</t>
  </si>
  <si>
    <t>H91N</t>
  </si>
  <si>
    <t>HEADSET H91N / 43465-01</t>
  </si>
  <si>
    <t>EAR CUSHION</t>
  </si>
  <si>
    <t>A1186448</t>
  </si>
  <si>
    <t>T5-0004</t>
  </si>
  <si>
    <t>P7-900013</t>
  </si>
  <si>
    <t>VXDS0065</t>
  </si>
  <si>
    <t>HOLDER ASSY</t>
  </si>
  <si>
    <t>VXPS0240</t>
  </si>
  <si>
    <t>ROTOR UNIT</t>
  </si>
  <si>
    <t>VDVS0057</t>
  </si>
  <si>
    <t>BELT</t>
  </si>
  <si>
    <t>VDVS0065</t>
  </si>
  <si>
    <t>VXLS0587</t>
  </si>
  <si>
    <t>ARMS</t>
  </si>
  <si>
    <t>R8C22X7001ZA</t>
  </si>
  <si>
    <t>HEAD ASSY</t>
  </si>
  <si>
    <t>427 switch,F/D CAP,1 POLE</t>
  </si>
  <si>
    <t>427 SWITCH,F/D CAP,1 POLE</t>
  </si>
  <si>
    <t>427 SWITCH, F/D CAP, 1POLE</t>
  </si>
  <si>
    <t>SWITCH.F/D CAP,1 POLE</t>
  </si>
  <si>
    <t>SWITCH,F/D CAP,1 POLE</t>
  </si>
  <si>
    <t>427 SWITCH F/D CAP,1 POLE</t>
  </si>
  <si>
    <t>SWITCH,F/D CAP, 1POLE</t>
  </si>
  <si>
    <t>434 INDICATOR</t>
  </si>
  <si>
    <t>RD-AM9508</t>
  </si>
  <si>
    <t>TEST TAPE</t>
  </si>
  <si>
    <t>RD-AM9511</t>
  </si>
  <si>
    <t>RD-AM9526</t>
  </si>
  <si>
    <t>MOD.KIT BATTERY PACK</t>
  </si>
  <si>
    <t>B3-12141</t>
  </si>
  <si>
    <t>T1-0209-4</t>
  </si>
  <si>
    <t>T2-0020</t>
  </si>
  <si>
    <t>DSS0100</t>
  </si>
  <si>
    <t>SURFACE SEAL KIT</t>
  </si>
  <si>
    <t>TUBE DRAIN</t>
  </si>
  <si>
    <t>A9292-3</t>
  </si>
  <si>
    <t>NUT</t>
  </si>
  <si>
    <t>WHITE PLUS PAPER 36" X 50YD / RL</t>
  </si>
  <si>
    <t>D38999/26WF35PN</t>
  </si>
  <si>
    <t>D38999/26WF35SN</t>
  </si>
  <si>
    <t>MS27473T24B35P</t>
  </si>
  <si>
    <t>M85049/38-13W</t>
  </si>
  <si>
    <t>ASSY.</t>
  </si>
  <si>
    <t>M85049/38-19W</t>
  </si>
  <si>
    <t>M85049/49-2-24W</t>
  </si>
  <si>
    <t>STROBE HEAD ASSEMBLY</t>
  </si>
  <si>
    <t>H91N/A</t>
  </si>
  <si>
    <t>HEADSET TOP</t>
  </si>
  <si>
    <t>SHS 1890-15</t>
  </si>
  <si>
    <t>AMPLIFIER</t>
  </si>
  <si>
    <t>PTS-K-6M-NC-2</t>
  </si>
  <si>
    <t>HANDSET</t>
  </si>
  <si>
    <t>OP4-00</t>
  </si>
  <si>
    <t>HANDSET CORD</t>
  </si>
  <si>
    <t>FUSE</t>
  </si>
  <si>
    <t>R6UC59B</t>
  </si>
  <si>
    <t>THRUST CUP</t>
  </si>
  <si>
    <t>D3899921YB99PN</t>
  </si>
  <si>
    <t>M83536/9-023L</t>
  </si>
  <si>
    <t>BELT,DRIVE</t>
  </si>
  <si>
    <t>L19367</t>
  </si>
  <si>
    <t>MAGNIT VALVE</t>
  </si>
  <si>
    <t>VSLS0585</t>
  </si>
  <si>
    <t>ARM UNIT</t>
  </si>
  <si>
    <t>GE4581</t>
  </si>
  <si>
    <t>SEAL BEAM LADING</t>
  </si>
  <si>
    <t>STARTER-GENERATOR</t>
  </si>
  <si>
    <t>B14056-008</t>
  </si>
  <si>
    <t>ORING</t>
  </si>
  <si>
    <t>B14056-015</t>
  </si>
  <si>
    <t>B14056-904</t>
  </si>
  <si>
    <t>B14056-906</t>
  </si>
  <si>
    <t>B14056-907</t>
  </si>
  <si>
    <t>B14056-908</t>
  </si>
  <si>
    <t>B14056-910</t>
  </si>
  <si>
    <t>B14056-912</t>
  </si>
  <si>
    <t>B14056-914</t>
  </si>
  <si>
    <t>B14056-916</t>
  </si>
  <si>
    <t>B14108-601</t>
  </si>
  <si>
    <t>ACCESSORY</t>
  </si>
  <si>
    <t>BACKSHELL</t>
  </si>
  <si>
    <t>MS3100A20-29P</t>
  </si>
  <si>
    <t>WALL MOUNT RECEPTACLE</t>
  </si>
  <si>
    <t>MS3106E8S-1S</t>
  </si>
  <si>
    <t>STRAIGHT PLUG</t>
  </si>
  <si>
    <t>MS3472L10-6P</t>
  </si>
  <si>
    <t>WIDE FLANG WALL MTG RECPT</t>
  </si>
  <si>
    <t>MS3472L10-6PW</t>
  </si>
  <si>
    <t>WIDE FLANG WALL MTG RECPT.</t>
  </si>
  <si>
    <t>MS3472L12-8P</t>
  </si>
  <si>
    <t>MS3472L12-8PW</t>
  </si>
  <si>
    <t>MS3476L10-6P</t>
  </si>
  <si>
    <t>MS3476L10-6S</t>
  </si>
  <si>
    <t>MS3476L10-6SW</t>
  </si>
  <si>
    <t>MS3476L12-10P</t>
  </si>
  <si>
    <t>MS3476L12-10S</t>
  </si>
  <si>
    <t>MS3476L12-8S</t>
  </si>
  <si>
    <t>MS3476L12-8SW</t>
  </si>
  <si>
    <t>MS3476L16-26P</t>
  </si>
  <si>
    <t>MS3476L20-39S</t>
  </si>
  <si>
    <t>MS3472L10-6S</t>
  </si>
  <si>
    <t>MS3102E20-29P</t>
  </si>
  <si>
    <t>MS3472L12-10P</t>
  </si>
  <si>
    <t>M22520-1-01</t>
  </si>
  <si>
    <t>TOOL</t>
  </si>
  <si>
    <t>M22520-1-02</t>
  </si>
  <si>
    <t>LOC POSITION</t>
  </si>
  <si>
    <t>MS3106A20-29S</t>
  </si>
  <si>
    <t>MS3057-12A</t>
  </si>
  <si>
    <t>DCMM37P</t>
  </si>
  <si>
    <t>AD-D717-01-100</t>
  </si>
  <si>
    <t>SEALED NI-CAD BATTERY PACK</t>
  </si>
  <si>
    <t>D717-01-100</t>
  </si>
  <si>
    <t>VALVE POPPET</t>
  </si>
  <si>
    <t>MS24547-1</t>
  </si>
  <si>
    <t>83.450.501</t>
  </si>
  <si>
    <t>83.453.002</t>
  </si>
  <si>
    <t>M83731/10-231</t>
  </si>
  <si>
    <t>THERMISTOR</t>
  </si>
  <si>
    <t>HEATER</t>
  </si>
  <si>
    <t>NAS1611-214</t>
  </si>
  <si>
    <t>RAIL 1 METER/EA</t>
  </si>
  <si>
    <t>B3-10145</t>
  </si>
  <si>
    <t>B3-10146</t>
  </si>
  <si>
    <t>T4-0047</t>
  </si>
  <si>
    <t>VDV0149</t>
  </si>
  <si>
    <t>GASKET</t>
  </si>
  <si>
    <t>BGW LIGHT</t>
  </si>
  <si>
    <t>BODY LIGHT</t>
  </si>
  <si>
    <t>WARN LABEL ENGLISH</t>
  </si>
  <si>
    <t>WARN LABEL FRENGH</t>
  </si>
  <si>
    <t>M22520/1-01</t>
  </si>
  <si>
    <t>M22520/2-01</t>
  </si>
  <si>
    <t>TOOLS</t>
  </si>
  <si>
    <t>M22520/2-09</t>
  </si>
  <si>
    <t>LOCATOR</t>
  </si>
  <si>
    <t>M22520/2-07</t>
  </si>
  <si>
    <t>M22520/2-10</t>
  </si>
  <si>
    <t>POSITIONNEURS</t>
  </si>
  <si>
    <t>L1033</t>
  </si>
  <si>
    <t>FREIGHT</t>
  </si>
  <si>
    <t>FREIGHT FOR SHIPMENT FROM HK TO BEIJING</t>
  </si>
  <si>
    <t>POWER SUPPLY(MODEL HDA,CF SERIES)</t>
  </si>
  <si>
    <t>WASHER</t>
  </si>
  <si>
    <t>LEVEL WELD ASSEMBLY</t>
  </si>
  <si>
    <t>ATF-6</t>
  </si>
  <si>
    <t>NEEDLE B</t>
  </si>
  <si>
    <t>KRP202806FTZ</t>
  </si>
  <si>
    <t>KJB193615V</t>
  </si>
  <si>
    <t>KSC234929V</t>
  </si>
  <si>
    <t>KSC255033V</t>
  </si>
  <si>
    <t>ATF-12</t>
  </si>
  <si>
    <t>YAF-14-B</t>
  </si>
  <si>
    <t>BOLT</t>
  </si>
  <si>
    <t>BOLT AY</t>
  </si>
  <si>
    <t>MS16562-217</t>
  </si>
  <si>
    <t>PIN</t>
  </si>
  <si>
    <t>EWBM26-6-38</t>
  </si>
  <si>
    <t>BACB30LJ4H4</t>
  </si>
  <si>
    <t>MS20392-1C39</t>
  </si>
  <si>
    <t>PIN-STRAIGHT HEAD</t>
  </si>
  <si>
    <t>MS24665-304</t>
  </si>
  <si>
    <t>COTTER PIN</t>
  </si>
  <si>
    <t>AN320-4</t>
  </si>
  <si>
    <t>RUBSTRIP</t>
  </si>
  <si>
    <t>AN960-416L</t>
  </si>
  <si>
    <t>AN320-6</t>
  </si>
  <si>
    <t>NAS1149C0663R</t>
  </si>
  <si>
    <t>AN960-616L</t>
  </si>
  <si>
    <t>MS14145L12</t>
  </si>
  <si>
    <t>BACN10HR6CS</t>
  </si>
  <si>
    <t>SHIM</t>
  </si>
  <si>
    <t>AN960-416</t>
  </si>
  <si>
    <t>NAS620-416</t>
  </si>
  <si>
    <t>NAS1149C1232R</t>
  </si>
  <si>
    <t>BACB28Y6M033</t>
  </si>
  <si>
    <t>NAS559-2</t>
  </si>
  <si>
    <t>LOCK ROD</t>
  </si>
  <si>
    <t>AN316-7L</t>
  </si>
  <si>
    <t>NAS509-6</t>
  </si>
  <si>
    <t>NAS509L6</t>
  </si>
  <si>
    <t>COUPLING</t>
  </si>
  <si>
    <t>END AY</t>
  </si>
  <si>
    <t>FILLER</t>
  </si>
  <si>
    <t>CM369042</t>
  </si>
  <si>
    <t>CM358091</t>
  </si>
  <si>
    <t>RESOLVER</t>
  </si>
  <si>
    <t>M22520/1-02</t>
  </si>
  <si>
    <t>M22520/1-04</t>
  </si>
  <si>
    <t>M22520/2-08</t>
  </si>
  <si>
    <t>RST2199</t>
  </si>
  <si>
    <t>ROLLER SWAGING TOOL</t>
  </si>
  <si>
    <t>CAPACTTOR</t>
  </si>
  <si>
    <t>MCR1906-6</t>
  </si>
  <si>
    <t>SCR</t>
  </si>
  <si>
    <t>LCD</t>
  </si>
  <si>
    <t>LAMP HOLDER</t>
  </si>
  <si>
    <t>A1H</t>
  </si>
  <si>
    <t>CM358991-1</t>
  </si>
  <si>
    <t>A127S1CXZQ</t>
  </si>
  <si>
    <t>SPONGE</t>
  </si>
  <si>
    <t>Y419</t>
  </si>
  <si>
    <t>TST50K</t>
  </si>
  <si>
    <t>TESTER</t>
  </si>
  <si>
    <t>MS27511B24C</t>
  </si>
  <si>
    <t>D38999/20WC98PN</t>
  </si>
  <si>
    <t>D38999/20WE35PN</t>
  </si>
  <si>
    <t>D38999/20WE35SN</t>
  </si>
  <si>
    <t>D38999/20WF35SN</t>
  </si>
  <si>
    <t>D38999/26WE35PN</t>
  </si>
  <si>
    <t>D38999/26WE35SN</t>
  </si>
  <si>
    <t>MS27508E24B35S</t>
  </si>
  <si>
    <t>M85049/38-17W</t>
  </si>
  <si>
    <t>VDV0158</t>
  </si>
  <si>
    <t>BELT LOADING</t>
  </si>
  <si>
    <t>M81969/14-06</t>
  </si>
  <si>
    <t>M22520/5-01</t>
  </si>
  <si>
    <t>CRIMP TOOL FRAME</t>
  </si>
  <si>
    <t>M22520/31-01</t>
  </si>
  <si>
    <t>M22520/2-34</t>
  </si>
  <si>
    <t>M22520/31-02</t>
  </si>
  <si>
    <t>M22520/2-37</t>
  </si>
  <si>
    <t>Y631</t>
  </si>
  <si>
    <t>M81969/14-05</t>
  </si>
  <si>
    <t>MS27497T08B35P</t>
  </si>
  <si>
    <t>MS27473T08B35S</t>
  </si>
  <si>
    <t>MS27506B08-2</t>
  </si>
  <si>
    <t>VALUE ASSY</t>
  </si>
  <si>
    <t>NK89WL1-8</t>
  </si>
  <si>
    <t>BUTTON</t>
  </si>
  <si>
    <t>A28238-6</t>
  </si>
  <si>
    <t>COLL</t>
  </si>
  <si>
    <t>CAP,ASSY</t>
  </si>
  <si>
    <t>M22520/3-1</t>
  </si>
  <si>
    <t>LIGHT BADE ASSY</t>
  </si>
  <si>
    <t>DT1673A</t>
  </si>
  <si>
    <t>INDICATOR</t>
  </si>
  <si>
    <t>VEH0501</t>
  </si>
  <si>
    <t>CYLINDER UNIT</t>
  </si>
  <si>
    <t>CAP AND HANDLE ASSY</t>
  </si>
  <si>
    <t>M83248/2-910</t>
  </si>
  <si>
    <t>M83248/1-016</t>
  </si>
  <si>
    <t>R6DG4A</t>
  </si>
  <si>
    <t>GEAR ASSY</t>
  </si>
  <si>
    <t>P4-01-0021</t>
  </si>
  <si>
    <t>BALL BEARING</t>
  </si>
  <si>
    <t>GUIDE ROLLER</t>
  </si>
  <si>
    <t>R6UL56ZA</t>
  </si>
  <si>
    <t>LOCK</t>
  </si>
  <si>
    <t>SCD480-28-1</t>
  </si>
  <si>
    <t>MICROCIRCUIT</t>
  </si>
  <si>
    <t>KNOB SWITCH</t>
  </si>
  <si>
    <t>AMS5837</t>
  </si>
  <si>
    <t>INCONEL 625 ROD DIA. 1/8INCH</t>
  </si>
  <si>
    <t>DK100</t>
  </si>
  <si>
    <t>SSRIF814ZZRA7P58LG4VCU</t>
  </si>
  <si>
    <t>M83733/4RB101</t>
  </si>
  <si>
    <t>M83733/6RB101</t>
  </si>
  <si>
    <t>LEN</t>
  </si>
  <si>
    <t>M39006-22-0191</t>
  </si>
  <si>
    <t>KNOB</t>
  </si>
  <si>
    <t>PLUGER</t>
  </si>
  <si>
    <t>SW5931</t>
  </si>
  <si>
    <t>M39014-2-1310V</t>
  </si>
  <si>
    <t>AR10400-110PC</t>
  </si>
  <si>
    <t>DIODE</t>
  </si>
  <si>
    <t>MS24264R16B24SN</t>
  </si>
  <si>
    <t>RECEPTACLE</t>
  </si>
  <si>
    <t>R2I75008G650</t>
  </si>
  <si>
    <t>ELT90A2560102001</t>
  </si>
  <si>
    <t>LM741H</t>
  </si>
  <si>
    <t>RESISTOR</t>
  </si>
  <si>
    <t>INVERTER</t>
  </si>
  <si>
    <t>CUP</t>
  </si>
  <si>
    <t>R4N502H502V2</t>
  </si>
  <si>
    <t>RESISTOR VARIABLE</t>
  </si>
  <si>
    <t>BULB SB</t>
  </si>
  <si>
    <t>POTENTIOMETER</t>
  </si>
  <si>
    <t>P1-90013</t>
  </si>
  <si>
    <t>LENS</t>
  </si>
  <si>
    <t>PANEL</t>
  </si>
  <si>
    <t>CHARGER</t>
  </si>
  <si>
    <t>VALVE</t>
  </si>
  <si>
    <t>CD4067BF</t>
  </si>
  <si>
    <t>IC</t>
  </si>
  <si>
    <t>CD4053BF</t>
  </si>
  <si>
    <t>R6US8A</t>
  </si>
  <si>
    <t>R6US11A</t>
  </si>
  <si>
    <t>IC, PLD</t>
  </si>
  <si>
    <t>CABLE 14 AWG</t>
  </si>
  <si>
    <t>CABLE 18AWG</t>
  </si>
  <si>
    <t>CABLE 22AWG</t>
  </si>
  <si>
    <t>SWITH, THERMAL</t>
  </si>
  <si>
    <t>BACC45FM12-3P</t>
  </si>
  <si>
    <t>TRANSFORMER</t>
  </si>
  <si>
    <t>KRYTOX 240AC</t>
  </si>
  <si>
    <t>GREASE</t>
  </si>
  <si>
    <t>M39006-22-0622</t>
  </si>
  <si>
    <t>427 SWITCH F/D CAP, NVIS GRN A</t>
  </si>
  <si>
    <t>DISCHARGE</t>
  </si>
  <si>
    <t>DISCHARGE BASE</t>
  </si>
  <si>
    <t>SENSOR</t>
  </si>
  <si>
    <t>LCD/ASSY</t>
  </si>
  <si>
    <t>T1-0209-04</t>
  </si>
  <si>
    <t>HEAT EXCHANGER</t>
  </si>
  <si>
    <t>M39016/9-022M</t>
  </si>
  <si>
    <t>SHS1890-25</t>
  </si>
  <si>
    <t>AMPLIFIER, 25'COIL CORD</t>
  </si>
  <si>
    <t>M83536/11-001L</t>
  </si>
  <si>
    <t>CROUZET SWITCH</t>
  </si>
  <si>
    <t>BUTTON ASSY</t>
  </si>
  <si>
    <t>SEMICONDUCTOR</t>
  </si>
  <si>
    <t>JMV121</t>
  </si>
  <si>
    <t>RD238-AV1G1</t>
  </si>
  <si>
    <t>RD239-AV1G1</t>
  </si>
  <si>
    <t>BP259-AV1G2</t>
  </si>
  <si>
    <t>BP260-AV1G2</t>
  </si>
  <si>
    <t>BP247-AV1G2</t>
  </si>
  <si>
    <t>BP248-AV1G2</t>
  </si>
  <si>
    <t>MSC491-AV1G2</t>
  </si>
  <si>
    <t>NVIS YELLOW GLASS B FILTER</t>
  </si>
  <si>
    <t>NVIS GREEN A GLASS B FILTER</t>
  </si>
  <si>
    <t>S8990-564</t>
  </si>
  <si>
    <t>HEADPHONE</t>
  </si>
  <si>
    <t>KX5-2-28</t>
  </si>
  <si>
    <t>WASHER-SAFETY PLUG</t>
  </si>
  <si>
    <t>DISCSAFE</t>
  </si>
  <si>
    <t>H51N</t>
  </si>
  <si>
    <t>HEADSET</t>
  </si>
  <si>
    <t>AQP AEROSPACE MARMAN PMA</t>
  </si>
  <si>
    <t>B14056-006</t>
  </si>
  <si>
    <t>79.255.573</t>
  </si>
  <si>
    <t>79.255.168</t>
  </si>
  <si>
    <t>83.574.509</t>
  </si>
  <si>
    <t>PRE-COOLER</t>
  </si>
  <si>
    <t>VEHS0511</t>
  </si>
  <si>
    <t>CYLINDER</t>
  </si>
  <si>
    <t>AE90527E</t>
  </si>
  <si>
    <t>COUPLING HALF</t>
  </si>
  <si>
    <t>MSC485-A1G2</t>
  </si>
  <si>
    <t>RD238-A1B1</t>
  </si>
  <si>
    <t>BP615-A1B2</t>
  </si>
  <si>
    <t>R5E2PX10D</t>
  </si>
  <si>
    <t>TRANSDUCER</t>
  </si>
  <si>
    <t>FRONT PANEL NHA NAV CONTROL</t>
  </si>
  <si>
    <t>DISPLAY</t>
  </si>
  <si>
    <t>LENS, RED W/2 DRAIN HOLDS</t>
  </si>
  <si>
    <t>MS24665-132</t>
  </si>
  <si>
    <t>PIN COTTER</t>
  </si>
  <si>
    <t>MS24665-134</t>
  </si>
  <si>
    <t>MS24665-374</t>
  </si>
  <si>
    <t>PIN-COTTER</t>
  </si>
  <si>
    <t>MS24665-178</t>
  </si>
  <si>
    <t>MS24665-285</t>
  </si>
  <si>
    <t>MS24665-302</t>
  </si>
  <si>
    <t>MS24665-444</t>
  </si>
  <si>
    <t>IGNITER</t>
  </si>
  <si>
    <t>NAS1198-3-5</t>
  </si>
  <si>
    <t>RIVET</t>
  </si>
  <si>
    <t>BACN10JC3CM</t>
  </si>
  <si>
    <t>J221P028</t>
  </si>
  <si>
    <t>VL1002GE1-027</t>
  </si>
  <si>
    <t>M83248/1-008</t>
  </si>
  <si>
    <t>M83248-2-905</t>
  </si>
  <si>
    <t>M83248/1-222</t>
  </si>
  <si>
    <t>M83248/1-160</t>
  </si>
  <si>
    <t>PACKING PREF</t>
  </si>
  <si>
    <t>M83248/1-161</t>
  </si>
  <si>
    <t>VL1002GE1-019</t>
  </si>
  <si>
    <t>VL1002GE1-130</t>
  </si>
  <si>
    <t>M83248/1-028</t>
  </si>
  <si>
    <t>M83248/1-029</t>
  </si>
  <si>
    <t>M83248/1-027</t>
  </si>
  <si>
    <t>VL1002GE1-904</t>
  </si>
  <si>
    <t>VL1181GE25-12</t>
  </si>
  <si>
    <t>VL1181GE25-16</t>
  </si>
  <si>
    <t>VL1002GE1-018</t>
  </si>
  <si>
    <t>J221P240(S)</t>
  </si>
  <si>
    <t>J221P122(S)</t>
  </si>
  <si>
    <t>VL1359GE92</t>
  </si>
  <si>
    <t>SEAL RING</t>
  </si>
  <si>
    <t>J221P015</t>
  </si>
  <si>
    <t>VL1002GE1-016</t>
  </si>
  <si>
    <t>VL1002GE1-111</t>
  </si>
  <si>
    <t>NAS1612-10A</t>
  </si>
  <si>
    <t>NAS1612-8A</t>
  </si>
  <si>
    <t>O RING</t>
  </si>
  <si>
    <t>J221P910(S)</t>
  </si>
  <si>
    <t>J221P215(S)</t>
  </si>
  <si>
    <t>M83248/1-910</t>
  </si>
  <si>
    <t>VL1002GE1-156</t>
  </si>
  <si>
    <t>VL1002GE1-215</t>
  </si>
  <si>
    <t>J221P019</t>
  </si>
  <si>
    <t>J221P017(S)</t>
  </si>
  <si>
    <t>M83248/1-134</t>
  </si>
  <si>
    <t>M83248/1-035</t>
  </si>
  <si>
    <t>S9413-011</t>
  </si>
  <si>
    <t>M83248/1-907</t>
  </si>
  <si>
    <t>M83248/1-227</t>
  </si>
  <si>
    <t>M83248/1-114</t>
  </si>
  <si>
    <t>M83248/1-143</t>
  </si>
  <si>
    <t>MS28778-5</t>
  </si>
  <si>
    <t>NAS1611-213A</t>
  </si>
  <si>
    <t>NAS1611-212A</t>
  </si>
  <si>
    <t>NAS1611-216A</t>
  </si>
  <si>
    <t>NAS1611-012A</t>
  </si>
  <si>
    <t>NAS1611-115A</t>
  </si>
  <si>
    <t>NAS1612-6A</t>
  </si>
  <si>
    <t>MS29513-334</t>
  </si>
  <si>
    <t>MS29513-111</t>
  </si>
  <si>
    <t>M83248-1-905</t>
  </si>
  <si>
    <t>M83248/1-216</t>
  </si>
  <si>
    <t>H342AA55</t>
  </si>
  <si>
    <t>BULB</t>
  </si>
  <si>
    <t>LAMP(BULB)</t>
  </si>
  <si>
    <t>LAMP-INCAND</t>
  </si>
  <si>
    <t>CAP LAMP</t>
  </si>
  <si>
    <t>TUBE FLUORESC</t>
  </si>
  <si>
    <t>F18T5WWRS</t>
  </si>
  <si>
    <t>TUBE</t>
  </si>
  <si>
    <t>MS23006-2</t>
  </si>
  <si>
    <t>Q4559X</t>
  </si>
  <si>
    <t>LAMP INC</t>
  </si>
  <si>
    <t>HLX64621</t>
  </si>
  <si>
    <t>FLTR KIT</t>
  </si>
  <si>
    <t>FILTER</t>
  </si>
  <si>
    <t>BACR15DR3-4</t>
  </si>
  <si>
    <t>CCR264SS-4-10</t>
  </si>
  <si>
    <t>NUT PLACE RIVETS</t>
  </si>
  <si>
    <t>BACN10JA3CD</t>
  </si>
  <si>
    <t>SL4147CA10A</t>
  </si>
  <si>
    <t>NUT AY</t>
  </si>
  <si>
    <t>SL4147CA14EBSP1</t>
  </si>
  <si>
    <t>AN924-10</t>
  </si>
  <si>
    <t>AS5178D12</t>
  </si>
  <si>
    <t>AN924-16D</t>
  </si>
  <si>
    <t>NUT PLAIN HEXAGON</t>
  </si>
  <si>
    <t>AN924-4D</t>
  </si>
  <si>
    <t>AN924-5D</t>
  </si>
  <si>
    <t>AN924-6D</t>
  </si>
  <si>
    <t>AN924-8D</t>
  </si>
  <si>
    <t>BACN10JC3CD</t>
  </si>
  <si>
    <t>BACN10JC4CD</t>
  </si>
  <si>
    <t>BACN10JC5CD</t>
  </si>
  <si>
    <t>BACN10JC6CD</t>
  </si>
  <si>
    <t>BACN10JC7CD</t>
  </si>
  <si>
    <t>BACN10JC8CD</t>
  </si>
  <si>
    <t>BACN11Z3CK</t>
  </si>
  <si>
    <t>NAS1805-4</t>
  </si>
  <si>
    <t>NUTPLATE</t>
  </si>
  <si>
    <t>NAS1805-6</t>
  </si>
  <si>
    <t>BACR11AW2</t>
  </si>
  <si>
    <t>RECEPTAC</t>
  </si>
  <si>
    <t>BACR11Y3A</t>
  </si>
  <si>
    <t>BACR11Y1</t>
  </si>
  <si>
    <t>BACN10KE3B2CD</t>
  </si>
  <si>
    <t>BACN10KE4B2CD</t>
  </si>
  <si>
    <t>BACN10JN3</t>
  </si>
  <si>
    <t>BACN10JN4</t>
  </si>
  <si>
    <t>BACN10JN04</t>
  </si>
  <si>
    <t>BACN10JN08</t>
  </si>
  <si>
    <t>BACC30M5</t>
  </si>
  <si>
    <t>COLLAR</t>
  </si>
  <si>
    <t>BACC30M6</t>
  </si>
  <si>
    <t>M25988-1-025</t>
  </si>
  <si>
    <t>SWITCH SHUTTER WHEEL</t>
  </si>
  <si>
    <t>SW/HDWR</t>
  </si>
  <si>
    <t>MS20995C041</t>
  </si>
  <si>
    <t>MS20995C063</t>
  </si>
  <si>
    <t>BACS21DD3</t>
  </si>
  <si>
    <t>M81969/1-02</t>
  </si>
  <si>
    <t>MS27497T8B35P</t>
  </si>
  <si>
    <t>KIT</t>
  </si>
  <si>
    <t>VEKS4002</t>
  </si>
  <si>
    <t>VXDS0031</t>
  </si>
  <si>
    <t>TE380</t>
  </si>
  <si>
    <t>ACTUATOR</t>
  </si>
  <si>
    <t>BP615-A1G2</t>
  </si>
  <si>
    <t>RD238-A1G1</t>
  </si>
  <si>
    <t>RD239-AV1G2</t>
  </si>
  <si>
    <t>MS27484T12B98S</t>
  </si>
  <si>
    <t>MS3475L14-19S</t>
  </si>
  <si>
    <t>MS3470L14-19P</t>
  </si>
  <si>
    <t>MS3470L16-8S</t>
  </si>
  <si>
    <t>MS3475L22-21P</t>
  </si>
  <si>
    <t>MS3470L22-21S</t>
  </si>
  <si>
    <t>MS3475L24-31PX</t>
  </si>
  <si>
    <t>MS3470L24-31SX</t>
  </si>
  <si>
    <t>MS3475L24-31PY</t>
  </si>
  <si>
    <t>MS3470L24-31SY</t>
  </si>
  <si>
    <t>MS3475L22-21PW</t>
  </si>
  <si>
    <t>MS3470L22-21SW</t>
  </si>
  <si>
    <t>MS3475L24-31S</t>
  </si>
  <si>
    <t>MS3470L24-31S</t>
  </si>
  <si>
    <t>G3803</t>
  </si>
  <si>
    <t>TRANSFORMER, HF</t>
  </si>
  <si>
    <t>COMPOUND</t>
  </si>
  <si>
    <t>NAVIGATION LIGHT (28V)</t>
  </si>
  <si>
    <t>NAVIGATION LIGHT(28V GREEN)</t>
  </si>
  <si>
    <t>NAV LIGHT(MODEL A555A 28V)</t>
  </si>
  <si>
    <t>STROBE LIGHT</t>
  </si>
  <si>
    <t>POWER SUPPLY (MODEL HTS,CF SERIES)</t>
  </si>
  <si>
    <t>B8120-H</t>
  </si>
  <si>
    <t>CONNECTOR(3 POSITION-FEMALE)</t>
  </si>
  <si>
    <t>CONNECTOR (2 POSITION-MALE)</t>
  </si>
  <si>
    <t>CONNECTOR ( 2 POSITION-FEMALE)</t>
  </si>
  <si>
    <t>S417N509-2SMI</t>
  </si>
  <si>
    <t>S417N509-6SMI</t>
  </si>
  <si>
    <t>S417N509-11SMI</t>
  </si>
  <si>
    <t>S417N509-15SMI</t>
  </si>
  <si>
    <t>M83248/1-017</t>
  </si>
  <si>
    <t>P142523</t>
  </si>
  <si>
    <t>S9026G221</t>
  </si>
  <si>
    <t>MS28778-6</t>
  </si>
  <si>
    <t>M83248/1-123</t>
  </si>
  <si>
    <t>M83248/1-906</t>
  </si>
  <si>
    <t>M83248/1-156</t>
  </si>
  <si>
    <t>MS9954-06</t>
  </si>
  <si>
    <t>CH0697101552N00</t>
  </si>
  <si>
    <t>RECEIVER</t>
  </si>
  <si>
    <t>DMC50-17</t>
  </si>
  <si>
    <t>DMNI50-2-1</t>
  </si>
  <si>
    <t>Y143</t>
  </si>
  <si>
    <t>POSITIONNER</t>
  </si>
  <si>
    <t>LEAD</t>
  </si>
  <si>
    <t>MS3475L24-31P</t>
  </si>
  <si>
    <t>BACC45FT24-61S6</t>
  </si>
  <si>
    <t>BACC45FT24-61S7</t>
  </si>
  <si>
    <t>BACC45FT24-61S9</t>
  </si>
  <si>
    <t>SPEAKER</t>
  </si>
  <si>
    <t>BRACKET ANGEL</t>
  </si>
  <si>
    <t>SHIM. HOLD DOWN</t>
  </si>
  <si>
    <t>AFMSP-8</t>
  </si>
  <si>
    <t>NSA55164-101</t>
  </si>
  <si>
    <t>RD238-A2G1</t>
  </si>
  <si>
    <t>JUQ242CT</t>
  </si>
  <si>
    <t>JUQ242AN</t>
  </si>
  <si>
    <t>JUQ242AP</t>
  </si>
  <si>
    <t>JUQ242BR</t>
  </si>
  <si>
    <t>JUQ242AS</t>
  </si>
  <si>
    <t>M83519/2-7</t>
  </si>
  <si>
    <t>SHIELD</t>
  </si>
  <si>
    <t>M83519/2-6</t>
  </si>
  <si>
    <t>ADHESIVE</t>
  </si>
  <si>
    <t>FUEL PUMP, ELECTRIC, 24 VDC</t>
  </si>
  <si>
    <t>TRANSFORMER-POWER 34/8/14/38/69 CNT</t>
  </si>
  <si>
    <t>KNOB1-GRY705: 0.625DIA BLND 0.25</t>
  </si>
  <si>
    <t>SAE20W-50</t>
  </si>
  <si>
    <t>OIL</t>
  </si>
  <si>
    <t>A3-212-05</t>
  </si>
  <si>
    <t>ADP155</t>
  </si>
  <si>
    <t>LW12681</t>
  </si>
  <si>
    <t>STD475</t>
  </si>
  <si>
    <t>WASHER, 5/16 LOCK</t>
  </si>
  <si>
    <t>STD1410</t>
  </si>
  <si>
    <t>NUT, 5/16-18 PLAIN</t>
  </si>
  <si>
    <t>NAS1611-009A</t>
  </si>
  <si>
    <t>G125</t>
  </si>
  <si>
    <t>G125 GO NO GO</t>
  </si>
  <si>
    <t>UH2-5</t>
  </si>
  <si>
    <t>UH2-5 UNIVERSAL POSITIONER</t>
  </si>
  <si>
    <t>G145</t>
  </si>
  <si>
    <t>GAGE</t>
  </si>
  <si>
    <t>D38999/20WF11SN</t>
  </si>
  <si>
    <t>D38999/26WA98SN</t>
  </si>
  <si>
    <t>D38999/26WB35PA</t>
  </si>
  <si>
    <t>D38999/26WB35PC</t>
  </si>
  <si>
    <t>D38999/26WB35SN</t>
  </si>
  <si>
    <t>D38999/26WD35PN</t>
  </si>
  <si>
    <t>D38999/26WD35SN</t>
  </si>
  <si>
    <t>D38999/26WF11SN</t>
  </si>
  <si>
    <t>D38999/26WH35SA</t>
  </si>
  <si>
    <t>D38999/26WH35SN</t>
  </si>
  <si>
    <t>PT06E-10-6S(SR)</t>
  </si>
  <si>
    <t>PT06E-18-32S(SR)</t>
  </si>
  <si>
    <t>VOYT-RECT</t>
  </si>
  <si>
    <t>LIGHT</t>
  </si>
  <si>
    <t>BODY</t>
  </si>
  <si>
    <t>TETE-IND</t>
  </si>
  <si>
    <t>NOSE WHEEL</t>
  </si>
  <si>
    <t>TIRE MIG</t>
  </si>
  <si>
    <t>HOBBS METER</t>
  </si>
  <si>
    <t>TUBE ASSY STROBE</t>
  </si>
  <si>
    <t>ES48110</t>
  </si>
  <si>
    <t>OIL FILTER</t>
  </si>
  <si>
    <t>UREM38E</t>
  </si>
  <si>
    <t>SPARK PLUG</t>
  </si>
  <si>
    <t>GYRO, ARTIFICAL HORIZON</t>
  </si>
  <si>
    <t>FREQ/SEL NAV/DME</t>
  </si>
  <si>
    <t>ELEMENT HEATING</t>
  </si>
  <si>
    <t>CIRCUIT-BREAKER 1A</t>
  </si>
  <si>
    <t>CIRCUIT-BREAKER 10A</t>
  </si>
  <si>
    <t>CIRCUIT-BREAKER 15A</t>
  </si>
  <si>
    <t>CIRCUIT-BREAKER 20A</t>
  </si>
  <si>
    <t>CIRCUIT-BREAKER 25A</t>
  </si>
  <si>
    <t>CIRCUIT-BREAKER 3A</t>
  </si>
  <si>
    <t>CIRCUIT-BREAKER 5A</t>
  </si>
  <si>
    <t>FRAME 9 SECOND STAGE NOZZLE</t>
  </si>
  <si>
    <t>FRAME 6 FIRST STAGE NOZZLE</t>
  </si>
  <si>
    <t>ABB/ALSTOM GT 13E2 STAGE 1VANE</t>
  </si>
  <si>
    <t>ABB/ALSTOM GT 13E2 STAGE 3VANE</t>
  </si>
  <si>
    <t>ABB/ALSTOM GT 13E2 STAGE 4BLAD</t>
  </si>
  <si>
    <t>ABB/ALSTOM GT 13E2 STAGE 4 BLADES</t>
  </si>
  <si>
    <t>ABB/ALSTOM GT 13E2 STAGE 5BLAD</t>
  </si>
  <si>
    <t>ABB/ALSTOM GT 13E2 STAGE 5BLADES</t>
  </si>
  <si>
    <t>FRAME 6 FIRST STAGE BLADES</t>
  </si>
  <si>
    <t>NEW FRAME 9 TRANSITION</t>
  </si>
  <si>
    <t>BP246-A2B1</t>
  </si>
  <si>
    <t>VALVE-VENT</t>
  </si>
  <si>
    <t>LOCK WASHER-CUP</t>
  </si>
  <si>
    <t>B.D/ASSY</t>
  </si>
  <si>
    <t>BD/ASSY; - CONNECTOR REAR</t>
  </si>
  <si>
    <t>ANTENNA</t>
  </si>
  <si>
    <t>M22520/2-02</t>
  </si>
  <si>
    <t>DMC</t>
  </si>
  <si>
    <t>CAGE SET(AFM8)</t>
  </si>
  <si>
    <t>TP837</t>
  </si>
  <si>
    <t>SINGLE POSITION HEAD</t>
  </si>
  <si>
    <t>ASSY</t>
  </si>
  <si>
    <t>LIGHT LANDING 28V CD</t>
  </si>
  <si>
    <t>STARTER</t>
  </si>
  <si>
    <t>ALU8521LS</t>
  </si>
  <si>
    <t>ALTERNATOR 24V</t>
  </si>
  <si>
    <t>A508-28</t>
  </si>
  <si>
    <t>A508-28 HALOGEN BULB</t>
  </si>
  <si>
    <t>HORN STALL WARNING</t>
  </si>
  <si>
    <t>MS29513-011</t>
  </si>
  <si>
    <t>SL71481</t>
  </si>
  <si>
    <t>CYLINDER BAFFLE SEAL</t>
  </si>
  <si>
    <t>RG24-15M</t>
  </si>
  <si>
    <t>BATTERY,SEALED,CONCORD</t>
  </si>
  <si>
    <t>06E19769-1.00</t>
  </si>
  <si>
    <t>MAGNETO</t>
  </si>
  <si>
    <t>AN960-716</t>
  </si>
  <si>
    <t>AN7-44A</t>
  </si>
  <si>
    <t>LINING BRAKE</t>
  </si>
  <si>
    <t>C3317-228</t>
  </si>
  <si>
    <t>AE3660000G0490</t>
  </si>
  <si>
    <t>FUEL HOSE</t>
  </si>
  <si>
    <t>AE3660000G0304</t>
  </si>
  <si>
    <t>HOSE ASSY, 1/4 HOSE, 90 ELBOW</t>
  </si>
  <si>
    <t>GREASELESS LUBRICANT</t>
  </si>
  <si>
    <t>INDUSTRIAL STRENGTH LUBRICANT</t>
  </si>
  <si>
    <t>HEAVY DUTY RUST</t>
  </si>
  <si>
    <t>CLEANER(12CN/BOX)</t>
  </si>
  <si>
    <t>POO38</t>
  </si>
  <si>
    <t>ELECTROLYTE S.G.1.285 3QT PACK</t>
  </si>
  <si>
    <t>MDL-3</t>
  </si>
  <si>
    <t>TVS FUSE (WITH MFR CERT.)</t>
  </si>
  <si>
    <t>MS28034-1</t>
  </si>
  <si>
    <t>TRANSDUCER-OIL</t>
  </si>
  <si>
    <t>GUIDE</t>
  </si>
  <si>
    <t>NAS1352C06-7</t>
  </si>
  <si>
    <t>TEMPERATURE SWITCH</t>
  </si>
  <si>
    <t>PUMP</t>
  </si>
  <si>
    <t>BP246-A1G1</t>
  </si>
  <si>
    <t>BP247-A1G1</t>
  </si>
  <si>
    <t>FAN</t>
  </si>
  <si>
    <t>GENERATOR</t>
  </si>
  <si>
    <t>SPEED SWITCH</t>
  </si>
  <si>
    <t>AW2835AB05</t>
  </si>
  <si>
    <t>INDICATR</t>
  </si>
  <si>
    <t>A420-060283-05</t>
  </si>
  <si>
    <t>SOLENOID</t>
  </si>
  <si>
    <t>FUSE, VOLUMETRIC</t>
  </si>
  <si>
    <t>WARNING DISPLAY</t>
  </si>
  <si>
    <t>DIRECTIONAL ANTENNA AND MOUNTING KIT</t>
  </si>
  <si>
    <t>G6992-44</t>
  </si>
  <si>
    <t>MODULEAY</t>
  </si>
  <si>
    <t>XMTR</t>
  </si>
  <si>
    <t>H504B</t>
  </si>
  <si>
    <t>R5303M1</t>
  </si>
  <si>
    <t>LAMP INCANDESCENT</t>
  </si>
  <si>
    <t>LAMP, ENG. SCAN</t>
  </si>
  <si>
    <t>LIGHT SUB-ASSY</t>
  </si>
  <si>
    <t>STR ELEMENT</t>
  </si>
  <si>
    <t>RTD DUAL TEMPERATURE SENSOR</t>
  </si>
  <si>
    <t>STIFFNER</t>
  </si>
  <si>
    <t>OIL RING</t>
  </si>
  <si>
    <t>LATCH AY</t>
  </si>
  <si>
    <t>LINNING SNUBBER BRAKE</t>
  </si>
  <si>
    <t>A9602-5</t>
  </si>
  <si>
    <t>AE2464162E0163</t>
  </si>
  <si>
    <t>HOSE ASSY</t>
  </si>
  <si>
    <t>AE2464162E0222</t>
  </si>
  <si>
    <t>HOSE AY</t>
  </si>
  <si>
    <t>AE2464163E0192</t>
  </si>
  <si>
    <t>HOSE</t>
  </si>
  <si>
    <t>AE2464163E0196</t>
  </si>
  <si>
    <t>NAS1149FN832P</t>
  </si>
  <si>
    <t>BOE2236-0016</t>
  </si>
  <si>
    <t>HL11VAZ6-3</t>
  </si>
  <si>
    <t>BACB30NW6K3X</t>
  </si>
  <si>
    <t>BACN10GY6</t>
  </si>
  <si>
    <t>BACN10HR9C</t>
  </si>
  <si>
    <t>DK120</t>
  </si>
  <si>
    <t>UNDER WATER BEACON BATTERY</t>
  </si>
  <si>
    <t>L507945</t>
  </si>
  <si>
    <t>M25988/4-904</t>
  </si>
  <si>
    <t>M83248/2-904</t>
  </si>
  <si>
    <t>M83248/2-908</t>
  </si>
  <si>
    <t>BACP18BC02A04P</t>
  </si>
  <si>
    <t>PIN, COTTER</t>
  </si>
  <si>
    <t>NAS1612-4</t>
  </si>
  <si>
    <t>S9028A905</t>
  </si>
  <si>
    <t>TR763-02</t>
  </si>
  <si>
    <t>CORE</t>
  </si>
  <si>
    <t>RHEOSTAT</t>
  </si>
  <si>
    <t>LCD ASSY FOR LCD EXCHANGE PROGRAM</t>
  </si>
  <si>
    <t>DISPLAY FOR LCD EXCHANGE PROGRAM</t>
  </si>
  <si>
    <t>A3-06-0897-2</t>
  </si>
  <si>
    <t>A3-06-0768</t>
  </si>
  <si>
    <t>KNOB CONTROL</t>
  </si>
  <si>
    <t>STD2233</t>
  </si>
  <si>
    <t>S1577A1</t>
  </si>
  <si>
    <t>RELAY, 24 VOLT</t>
  </si>
  <si>
    <t>FAN GIA G1000 MOD1</t>
  </si>
  <si>
    <t>MS51527-B6</t>
  </si>
  <si>
    <t>FITTING, 90DEG, ELBOW</t>
  </si>
  <si>
    <t>MS3320-5</t>
  </si>
  <si>
    <t>CIRCUIT BREAKER 5AMP</t>
  </si>
  <si>
    <t>MS3320-10</t>
  </si>
  <si>
    <t>CIRCUIT BREAKER 10AMP</t>
  </si>
  <si>
    <t>MS3320-2</t>
  </si>
  <si>
    <t>CIRCUIT BREAKER 2AMP</t>
  </si>
  <si>
    <t>MS3320-25</t>
  </si>
  <si>
    <t>CIRCUIT BREAKER 25AMP</t>
  </si>
  <si>
    <t>MS3320-3</t>
  </si>
  <si>
    <t>STD551</t>
  </si>
  <si>
    <t>PLUG QTE PN STD551</t>
  </si>
  <si>
    <t>C210776</t>
  </si>
  <si>
    <t>PROPELLER GOVERNOR</t>
  </si>
  <si>
    <t>AN5-35A</t>
  </si>
  <si>
    <t>AN4-22A</t>
  </si>
  <si>
    <t>K3822</t>
  </si>
  <si>
    <t>GEAR ASSY PLATE</t>
  </si>
  <si>
    <t>M39029/1-101</t>
  </si>
  <si>
    <t>BLANKET-INS</t>
  </si>
  <si>
    <t>NIGHTSHIELD FILTER</t>
  </si>
  <si>
    <t>RD241-AV1G2</t>
  </si>
  <si>
    <t>KNOBS</t>
  </si>
  <si>
    <t>RD242-AV1G2</t>
  </si>
  <si>
    <t>GP361-AV1G2</t>
  </si>
  <si>
    <t>BACR13CD2</t>
  </si>
  <si>
    <t>BACR13CD1</t>
  </si>
  <si>
    <t>BACB28U6B033</t>
  </si>
  <si>
    <t>BUSHING</t>
  </si>
  <si>
    <t>7075-0 0.063X48X144</t>
  </si>
  <si>
    <t>CLAD AL SHEET</t>
  </si>
  <si>
    <t>END CAP</t>
  </si>
  <si>
    <t>CDU</t>
  </si>
  <si>
    <t>DRK36</t>
  </si>
  <si>
    <t>BY8</t>
  </si>
  <si>
    <t>BEECH KING AU B200/T/CT&amp;ENGINE</t>
  </si>
  <si>
    <t>LAMP-28V, 0.04A, +/-10%</t>
  </si>
  <si>
    <t>DAI-9026-200</t>
  </si>
  <si>
    <t>FIRE EXTINGUISHER</t>
  </si>
  <si>
    <t>AIR SPEED INDICATOR</t>
  </si>
  <si>
    <t>INDICATOR-ALTIMETER</t>
  </si>
  <si>
    <t>PG2C</t>
  </si>
  <si>
    <t>MAGNETIC COMPASS PG2C-28V</t>
  </si>
  <si>
    <t>TURN COORDINATOR</t>
  </si>
  <si>
    <t>ATTITUDE INDICATOR</t>
  </si>
  <si>
    <t>RB-0700</t>
  </si>
  <si>
    <t>AIRFILTER</t>
  </si>
  <si>
    <t>G243</t>
  </si>
  <si>
    <t>A7512-24</t>
  </si>
  <si>
    <t>LAMP NSN:6240-00-681-8366</t>
  </si>
  <si>
    <t>GLOW LAMP</t>
  </si>
  <si>
    <t>DA4-3417-10-00 1</t>
  </si>
  <si>
    <t>PITOT TUBE ASSY</t>
  </si>
  <si>
    <t>C-99701-1</t>
  </si>
  <si>
    <t>LIFTR DETECTOR</t>
  </si>
  <si>
    <t>TIRE, 15x6.00-6</t>
  </si>
  <si>
    <t>TIRE CASING</t>
  </si>
  <si>
    <t>TUBE, G15/6.00-6, TR20, STRAIGHT</t>
  </si>
  <si>
    <t>TUBE, 5.00-5, TR67</t>
  </si>
  <si>
    <t>D60-2817-14-00-ASY</t>
  </si>
  <si>
    <t>FUEL PROBE ASSY</t>
  </si>
  <si>
    <t>D60-2817-13-00-ASY</t>
  </si>
  <si>
    <t>D60-7613-10-32</t>
  </si>
  <si>
    <t>RUDDER TRIM KNOB</t>
  </si>
  <si>
    <t>DIN94-4X60-A2</t>
  </si>
  <si>
    <t>GEAR OILFILTER</t>
  </si>
  <si>
    <t>GASKET RING</t>
  </si>
  <si>
    <t>FILTER CAP, GEAR</t>
  </si>
  <si>
    <t>PROPORTIONAL CONTROL VALVE</t>
  </si>
  <si>
    <t>PRESSURE LIMITER VALVE</t>
  </si>
  <si>
    <t>ZSB ALTERNATOR 28V</t>
  </si>
  <si>
    <t>KOMBI-PUMP ASSY, TURBO-CSU</t>
  </si>
  <si>
    <t>GEAR OIL TEMPERATURE SENSOR</t>
  </si>
  <si>
    <t>OIL FILTER SCREW, M18X1.5</t>
  </si>
  <si>
    <t>O-RING WATER-PIPE</t>
  </si>
  <si>
    <t>GASKET, A1662030180</t>
  </si>
  <si>
    <t>TEMPERATURE SENSOR, COOLING AGENT</t>
  </si>
  <si>
    <t>STUD BOLT</t>
  </si>
  <si>
    <t>STEEL GASKET, TURBO INLET</t>
  </si>
  <si>
    <t>SEAL RING OIL TEMPERATURE SENSOR</t>
  </si>
  <si>
    <t>SEAL RING PRESSURE SENS</t>
  </si>
  <si>
    <t>THERMOSTAT, 50120-SK</t>
  </si>
  <si>
    <t>INJECTOR</t>
  </si>
  <si>
    <t>DIESEL FILTER KX-70D</t>
  </si>
  <si>
    <t>CAM SHAFT POSITION TRANSMITTER</t>
  </si>
  <si>
    <t>CRANKSHAFT SENSOR</t>
  </si>
  <si>
    <t>AIRINTAKE TEMPERATURE SENSOR</t>
  </si>
  <si>
    <t>GASKET STAINLESS STEEL</t>
  </si>
  <si>
    <t>CRANK SENS. CONNECT REP SET</t>
  </si>
  <si>
    <t>100HRS MAINTENANCE PART SET CENT</t>
  </si>
  <si>
    <t>HOSE CLAMP</t>
  </si>
  <si>
    <t>12.3GER</t>
  </si>
  <si>
    <t>1-EAR CLAMP</t>
  </si>
  <si>
    <t>13.8RER</t>
  </si>
  <si>
    <t>1-EAR CLAMP, 13.8MM</t>
  </si>
  <si>
    <t>14.5RER</t>
  </si>
  <si>
    <t>1-EAR CLAMP, 16MM</t>
  </si>
  <si>
    <t>20.7RER</t>
  </si>
  <si>
    <t>21.8GER</t>
  </si>
  <si>
    <t>1-EAR CLAMP, 21.8MM</t>
  </si>
  <si>
    <t>AE3660061J0151</t>
  </si>
  <si>
    <t>OIL HOSE (A22943-01)</t>
  </si>
  <si>
    <t>D60-3217-23-U2</t>
  </si>
  <si>
    <t>JOINT OVERSIZE2</t>
  </si>
  <si>
    <t>D60-3217-23-U3</t>
  </si>
  <si>
    <t>JOINT OVERSIZE3</t>
  </si>
  <si>
    <t>PAP1220P11</t>
  </si>
  <si>
    <t>DIN915-M4X6-A2</t>
  </si>
  <si>
    <t>BOLT, THREADED, SOCKET, HEAD, WITH DOG P</t>
  </si>
  <si>
    <t>DIN125-AM10-ZP</t>
  </si>
  <si>
    <t>DIN125-M8-A2</t>
  </si>
  <si>
    <t>DIN125-M6-A4</t>
  </si>
  <si>
    <t>DIN125-A5.3-A2</t>
  </si>
  <si>
    <t>DIN125-AM4-ZP</t>
  </si>
  <si>
    <t>DIN7973-3.5X13-A2</t>
  </si>
  <si>
    <t>SCREW, SLOTTED RECESSED COUNTERSUNK HEAD</t>
  </si>
  <si>
    <t>DIN7981-3.9X16-ZP</t>
  </si>
  <si>
    <t>TAPPING SCREW, TALLOW DROP PHILLIPS HEAD</t>
  </si>
  <si>
    <t>DIN933-M4X25-YZP</t>
  </si>
  <si>
    <t>BOLT, HEXAGON HEAD, WITHOUT SHANK</t>
  </si>
  <si>
    <t>DIN933-M10X25-8.8-ZP</t>
  </si>
  <si>
    <t>DIN971-3.9X19-ZP</t>
  </si>
  <si>
    <t>SCREW, SLOTTED PAN HEAD TAPPING</t>
  </si>
  <si>
    <t>DIN985-M4-A2</t>
  </si>
  <si>
    <t>NUT, HEXAGON, SELF LOCKING</t>
  </si>
  <si>
    <t>DIN985-M5-A2</t>
  </si>
  <si>
    <t>DIN985-M8-A2</t>
  </si>
  <si>
    <t>NUT, HEXAGON</t>
  </si>
  <si>
    <t>DIN985-M10-A2</t>
  </si>
  <si>
    <t>DIN3771-23.4X3.53</t>
  </si>
  <si>
    <t>ISO7380-M5X16-A2</t>
  </si>
  <si>
    <t>SCREW, HEXAGON SOCKET BUTTON</t>
  </si>
  <si>
    <t>LN9037-M4X18</t>
  </si>
  <si>
    <t>BOLT, HEXAGON HEAD</t>
  </si>
  <si>
    <t>LN9037-M5X24</t>
  </si>
  <si>
    <t>LN9037-M5X30</t>
  </si>
  <si>
    <t>LN9037-M5X40</t>
  </si>
  <si>
    <t>LN9037-M8X16</t>
  </si>
  <si>
    <t>LN9037-M8X26</t>
  </si>
  <si>
    <t>LN9037-M8X34</t>
  </si>
  <si>
    <t>LN9037-M6X24</t>
  </si>
  <si>
    <t>LN9037-M6X30</t>
  </si>
  <si>
    <t>LN9037-M6X38</t>
  </si>
  <si>
    <t>BOARD ASSY</t>
  </si>
  <si>
    <t>SCREWS</t>
  </si>
  <si>
    <t>26 AWG HOOKUP WIRE</t>
  </si>
  <si>
    <t>MOD STATUS PLATE</t>
  </si>
  <si>
    <t>LC-R121R3P</t>
  </si>
  <si>
    <t>ALTERNATOR EXCITATION BATTERY</t>
  </si>
  <si>
    <t>BLANKET</t>
  </si>
  <si>
    <t>NAS509-5C</t>
  </si>
  <si>
    <t>NAS509-6C</t>
  </si>
  <si>
    <t>NAS1291-C6M</t>
  </si>
  <si>
    <t>LOCKNUT</t>
  </si>
  <si>
    <t>MS35338-139</t>
  </si>
  <si>
    <t>MS35338-140</t>
  </si>
  <si>
    <t>MS35338-141</t>
  </si>
  <si>
    <t>AN4CH3A</t>
  </si>
  <si>
    <t>VAT</t>
  </si>
  <si>
    <t>R2DDAN217X</t>
  </si>
  <si>
    <t>R2T2SA1900X</t>
  </si>
  <si>
    <t>CHUCK ASSY-LB AIR CHUCK</t>
  </si>
  <si>
    <t>VS5 CAP</t>
  </si>
  <si>
    <t>WHEEL HALF(INNER)</t>
  </si>
  <si>
    <t>WHEEL HALF(OUTER)</t>
  </si>
  <si>
    <t>BEARING, CUP</t>
  </si>
  <si>
    <t>FELT-GREASE SEAL</t>
  </si>
  <si>
    <t>SNAP RING</t>
  </si>
  <si>
    <t>NUT(MS21044-N4)</t>
  </si>
  <si>
    <t>BEARING, CONE</t>
  </si>
  <si>
    <t>RING-GREASE SEAL</t>
  </si>
  <si>
    <t>RD239-A2G2</t>
  </si>
  <si>
    <t>ASA-AFT-1</t>
  </si>
  <si>
    <t>FUEL TESTER</t>
  </si>
  <si>
    <t>PJ051B</t>
  </si>
  <si>
    <t>WA23</t>
  </si>
  <si>
    <t>WA23-2</t>
  </si>
  <si>
    <t>POWER SUPPLY</t>
  </si>
  <si>
    <t>VR2000-28-1</t>
  </si>
  <si>
    <t>VOLTAGE REGULATOR</t>
  </si>
  <si>
    <t>AN7-43A</t>
  </si>
  <si>
    <t>CT907</t>
  </si>
  <si>
    <t>SCOCKET TOOL</t>
  </si>
  <si>
    <t>PRO360</t>
  </si>
  <si>
    <t>M8805-95-001</t>
  </si>
  <si>
    <t>CONDENSEER BAG</t>
  </si>
  <si>
    <t>ATOMIZER</t>
  </si>
  <si>
    <t>AB0470044</t>
  </si>
  <si>
    <t>FILTER ASSY</t>
  </si>
  <si>
    <t>BACP11K6</t>
  </si>
  <si>
    <t>J221P008</t>
  </si>
  <si>
    <t>J221P013</t>
  </si>
  <si>
    <t>J221P014</t>
  </si>
  <si>
    <t>J221P027</t>
  </si>
  <si>
    <t>J221P134</t>
  </si>
  <si>
    <t>M83248/1-014</t>
  </si>
  <si>
    <t>M83248/1-214</t>
  </si>
  <si>
    <t>M83248/1-228</t>
  </si>
  <si>
    <t>M83248/1-905</t>
  </si>
  <si>
    <t>MS28782-25</t>
  </si>
  <si>
    <t>NAS1611-114</t>
  </si>
  <si>
    <t>NAS1611-220A</t>
  </si>
  <si>
    <t>NAS1611-242</t>
  </si>
  <si>
    <t>S8990-115</t>
  </si>
  <si>
    <t>S8990-266</t>
  </si>
  <si>
    <t>S9026L110</t>
  </si>
  <si>
    <t>S9413-556</t>
  </si>
  <si>
    <t>S9413-008</t>
  </si>
  <si>
    <t>S9413-111</t>
  </si>
  <si>
    <t>S9413-112</t>
  </si>
  <si>
    <t>S9413-114</t>
  </si>
  <si>
    <t>S9413-214</t>
  </si>
  <si>
    <t>S9413-215</t>
  </si>
  <si>
    <t>S9413-222</t>
  </si>
  <si>
    <t>S9413-227</t>
  </si>
  <si>
    <t>S9413-554</t>
  </si>
  <si>
    <t>HYDRAULIC TRIPOD JACK</t>
  </si>
  <si>
    <t>STAND, TAIL/UNIVERSAL</t>
  </si>
  <si>
    <t>GAUGE, A/C TIRE PRESSURE</t>
  </si>
  <si>
    <t>ENGINE SLING TFE-731</t>
  </si>
  <si>
    <t>QUOTING 14-4039-0010</t>
  </si>
  <si>
    <t>Z-737</t>
  </si>
  <si>
    <t>ADAPTER LUBRICATION</t>
  </si>
  <si>
    <t>FLUID SERVICE UNIT</t>
  </si>
  <si>
    <t>E0105</t>
  </si>
  <si>
    <t>RECEPTICAL SWITCH</t>
  </si>
  <si>
    <t>MSC487-A1G1</t>
  </si>
  <si>
    <t>LENS CAP</t>
  </si>
  <si>
    <t>ADAPTER REV. R1</t>
  </si>
  <si>
    <t>SEALING RING REV. R1</t>
  </si>
  <si>
    <t>CT-475AV</t>
  </si>
  <si>
    <t>SPARK PLUG SERVICE UNIT:MODEL CT-475AV</t>
  </si>
  <si>
    <t>WINDOW UPPER ASSEMBLE G6076A</t>
  </si>
  <si>
    <t>HOSE ASSY, EMER. EXTEND</t>
  </si>
  <si>
    <t>HOSE ASSY RETRACT BLUE</t>
  </si>
  <si>
    <t>HYDRAULIC HOSE</t>
  </si>
  <si>
    <t>HOSE ASSY, LH RETRACT</t>
  </si>
  <si>
    <t>HOSE ASSY, DRAIN</t>
  </si>
  <si>
    <t>HOSE ASSY, LH</t>
  </si>
  <si>
    <t>FUEL PUM PRESSURE SWITCH</t>
  </si>
  <si>
    <t>HOSE ASSMBELY</t>
  </si>
  <si>
    <t>M83536/22-025M</t>
  </si>
  <si>
    <t>GROMMIT</t>
  </si>
  <si>
    <t>BOLT(AN4-22A)</t>
  </si>
  <si>
    <t>WASHER(AN960-416L)</t>
  </si>
  <si>
    <t>BRAKE DISC</t>
  </si>
  <si>
    <t>OUTLET ASSEMBLY W/OEM COC</t>
  </si>
  <si>
    <t>LW-13792</t>
  </si>
  <si>
    <t>LW19296</t>
  </si>
  <si>
    <t>STD-1925</t>
  </si>
  <si>
    <t>SCREEW</t>
  </si>
  <si>
    <t>LW18661</t>
  </si>
  <si>
    <t>LW-14995</t>
  </si>
  <si>
    <t>LW-12272</t>
  </si>
  <si>
    <t>LOCKPLATE</t>
  </si>
  <si>
    <t>LW-18661</t>
  </si>
  <si>
    <t>STD-475</t>
  </si>
  <si>
    <t>STD-761</t>
  </si>
  <si>
    <t>STD-551</t>
  </si>
  <si>
    <t>FUEL SCREEN</t>
  </si>
  <si>
    <t>MS28778-10</t>
  </si>
  <si>
    <t>PACKING PREFORM</t>
  </si>
  <si>
    <t>FILTER - FWD</t>
  </si>
  <si>
    <t>RUDDER BOOST FILTER</t>
  </si>
  <si>
    <t>AS3569-232</t>
  </si>
  <si>
    <t>ORIFICE ASSY</t>
  </si>
  <si>
    <t>NLG FORK</t>
  </si>
  <si>
    <t>WIPER</t>
  </si>
  <si>
    <t>AN809-1</t>
  </si>
  <si>
    <t>CORE VALVE</t>
  </si>
  <si>
    <t>AS3569-012</t>
  </si>
  <si>
    <t>XDUCER FUEL LEVEL SYSTEM</t>
  </si>
  <si>
    <t>NAS1149F0632P</t>
  </si>
  <si>
    <t>AEL12795</t>
  </si>
  <si>
    <t>FITTING, ADAPTER, GASKET</t>
  </si>
  <si>
    <t>LW12795</t>
  </si>
  <si>
    <t>SEAL QUOTING LW12795</t>
  </si>
  <si>
    <t>VALUE-INNER</t>
  </si>
  <si>
    <t>QD2100</t>
  </si>
  <si>
    <t>TORQUE WRENCH, ADJ. CLICK-TY US FIXED 2</t>
  </si>
  <si>
    <t>QD1R200</t>
  </si>
  <si>
    <t>TORQ200LBIN</t>
  </si>
  <si>
    <t>E-50</t>
  </si>
  <si>
    <t>MAGNETO TIMING LIGHT</t>
  </si>
  <si>
    <t>MASK</t>
  </si>
  <si>
    <t>NET AY</t>
  </si>
  <si>
    <t>THERMO SWITCH</t>
  </si>
  <si>
    <t>FUEL INJECTOR</t>
  </si>
  <si>
    <t>STARTER GENERATOR</t>
  </si>
  <si>
    <t>FILTER ELEMENT, RETURN</t>
  </si>
  <si>
    <t>FILTER AIR</t>
  </si>
  <si>
    <t>KNOB: - GRY705: 0.875 DIA 0.385 THR</t>
  </si>
  <si>
    <t>BP617-AV1G2</t>
  </si>
  <si>
    <t>MSC485-AV1G2</t>
  </si>
  <si>
    <t>RD240-AV1G2</t>
  </si>
  <si>
    <t>GP360-A2G1</t>
  </si>
  <si>
    <t>RD239-A2G1</t>
  </si>
  <si>
    <t>POINTER</t>
  </si>
  <si>
    <t>LANDING LIGHT LAMP</t>
  </si>
  <si>
    <t>TAXI LIGHT LAMP</t>
  </si>
  <si>
    <t>FLASH TUBE</t>
  </si>
  <si>
    <t>SWITCH: - TOG 4PDT 15/32 MO/MA</t>
  </si>
  <si>
    <t>E01</t>
  </si>
  <si>
    <t>ELT SYSTEM</t>
  </si>
  <si>
    <t>D60-3217-21-31</t>
  </si>
  <si>
    <t>AXLE MAIN WHEEL</t>
  </si>
  <si>
    <t>ADAPTER</t>
  </si>
  <si>
    <t>XDUCER EGT</t>
  </si>
  <si>
    <t>INNER WHEEL HALF ASSEMBLY</t>
  </si>
  <si>
    <t>IND</t>
  </si>
  <si>
    <t>M81969/14-03</t>
  </si>
  <si>
    <t>INSTALL/REM OVAL TOOL</t>
  </si>
  <si>
    <t>M81969/14-02</t>
  </si>
  <si>
    <t>FREQ/SEL COMM - COMM: 18/35 25KHZ W</t>
  </si>
  <si>
    <t>D38999/20FA35PN</t>
  </si>
  <si>
    <t>D38999/26FA35SN</t>
  </si>
  <si>
    <t>ESD4C</t>
  </si>
  <si>
    <t>DISCHARGER</t>
  </si>
  <si>
    <t>WASHER DIN125A-8.4x16x1, 6-140HV</t>
  </si>
  <si>
    <t>MS20365-720A</t>
  </si>
  <si>
    <t>HOSE AFT COMBUSTION</t>
  </si>
  <si>
    <t>MS28775-013</t>
  </si>
  <si>
    <t>PACKING, PREFORM</t>
  </si>
  <si>
    <t>BRAKE DISC ROTATING</t>
  </si>
  <si>
    <t>MS28775-112</t>
  </si>
  <si>
    <t>D60-7526-00-01</t>
  </si>
  <si>
    <t>WATER TUBE-MOUNTINGPLATE</t>
  </si>
  <si>
    <t>BP615-AV1G2</t>
  </si>
  <si>
    <t>M83P1801A</t>
  </si>
  <si>
    <t>MICROPHONE</t>
  </si>
  <si>
    <t>PROXIMITY SWITCH</t>
  </si>
  <si>
    <t>SKYOX24-4 OUTLET</t>
  </si>
  <si>
    <t>OXYGEN BOTTLE</t>
  </si>
  <si>
    <t>SWITCH: - P/B SPDT(DB) MOM 1/4 RD</t>
  </si>
  <si>
    <t>VHF</t>
  </si>
  <si>
    <t>RD239-A2G4</t>
  </si>
  <si>
    <t>KNOB; - GRY705: 1.000 DIA 0.377 THR</t>
  </si>
  <si>
    <t>LENS CAP: - 0.250 RND WHT TRP SCW T</t>
  </si>
  <si>
    <t>R8KFV981101</t>
  </si>
  <si>
    <t>LEVER ASSY</t>
  </si>
  <si>
    <t>PHONE</t>
  </si>
  <si>
    <t>FT1140</t>
  </si>
  <si>
    <t>NR3PS-EP</t>
  </si>
  <si>
    <t>CCA1550</t>
  </si>
  <si>
    <t>VALVE DRAIN FUEL TAN</t>
  </si>
  <si>
    <t>SWITCH-REED</t>
  </si>
  <si>
    <t>E-2A1000</t>
  </si>
  <si>
    <t>CT923</t>
  </si>
  <si>
    <t>R211CPN20</t>
  </si>
  <si>
    <t>CIRCUIT</t>
  </si>
  <si>
    <t>BXB</t>
  </si>
  <si>
    <t>CITATION JET CJ1 MAINTENANCE LIBRARY</t>
  </si>
  <si>
    <t>MS29512-4</t>
  </si>
  <si>
    <t>DCDC PWR: - 28VDC IN/30VDC OUT</t>
  </si>
  <si>
    <t>Hose Assy. RH Retract</t>
  </si>
  <si>
    <t>ENGINE SUPPORT,MODIFIED</t>
  </si>
  <si>
    <t>ENGINE MOUNT</t>
  </si>
  <si>
    <t>HEX HEAD BOLT</t>
  </si>
  <si>
    <t>ASSEMBLY,SELF LOCKING NUT</t>
  </si>
  <si>
    <t>RUBBER MOUNT</t>
  </si>
  <si>
    <t>RUBBER WASHER</t>
  </si>
  <si>
    <t>LOCK WASHER</t>
  </si>
  <si>
    <t>Silikon Sealant Tube,90ML</t>
  </si>
  <si>
    <t>CAV-180 3/8X24</t>
  </si>
  <si>
    <t>Valve Drain Fuel Tan</t>
  </si>
  <si>
    <t>B215-06</t>
  </si>
  <si>
    <t>PTM157</t>
  </si>
  <si>
    <t>INSPECTION MIRROR</t>
  </si>
  <si>
    <t>UIM225</t>
  </si>
  <si>
    <t>SG3ASHA</t>
  </si>
  <si>
    <t>SG3ASH90A</t>
  </si>
  <si>
    <t>ECF22C</t>
  </si>
  <si>
    <t>QD2R1000</t>
  </si>
  <si>
    <t>TORQUE WRENCH</t>
  </si>
  <si>
    <t>WT11B</t>
  </si>
  <si>
    <t>DISCHARGER, STATIC WICK</t>
  </si>
  <si>
    <t>D41-2560-93-00</t>
  </si>
  <si>
    <t>EMERGENCY BATTERY</t>
  </si>
  <si>
    <t>M22520/2-23</t>
  </si>
  <si>
    <t>WHEEL</t>
  </si>
  <si>
    <t>SCREW/SET</t>
  </si>
  <si>
    <t>SWITCH: -P/B SPDT(DB) MOM 1/4 BK</t>
  </si>
  <si>
    <t>E90-30</t>
  </si>
  <si>
    <t>ASSY, PC BOARD</t>
  </si>
  <si>
    <t>CRIMP TOOL-DIE</t>
  </si>
  <si>
    <t>D38999/20WJ20PN</t>
  </si>
  <si>
    <t>F6446</t>
  </si>
  <si>
    <t>VALVE BLEEDER</t>
  </si>
  <si>
    <t>ADAPTOR CATCH TANK (HOSE)</t>
  </si>
  <si>
    <t>ADAPTOR CATCH TANK (ALUMINUM PIPE)</t>
  </si>
  <si>
    <t>DIN7603-A14X20X1.5-AI</t>
  </si>
  <si>
    <t>FITTING</t>
  </si>
  <si>
    <t>D60-7806-10-00</t>
  </si>
  <si>
    <t>EXHAUST PIPE SUPERCEDE D60-7806-70-00</t>
  </si>
  <si>
    <t>N000005</t>
  </si>
  <si>
    <t>NUT,SELF-LOCKING SUPERCEDE</t>
  </si>
  <si>
    <t>R8C12X7001</t>
  </si>
  <si>
    <t>ROLLER</t>
  </si>
  <si>
    <t>M13083-5</t>
  </si>
  <si>
    <t>CARTRIDGE</t>
  </si>
  <si>
    <t>BOLT WING INCONEL</t>
  </si>
  <si>
    <t>NUT/UPPER FWD</t>
  </si>
  <si>
    <t>FILTER REPLACE 3034293</t>
  </si>
  <si>
    <t>S1450-6B14-010</t>
  </si>
  <si>
    <t>SHIM WASHER-BRASS</t>
  </si>
  <si>
    <t>D60-7526-30-29-KIT</t>
  </si>
  <si>
    <t>COOLANT TANK CAP</t>
  </si>
  <si>
    <t>NM-0000-0136801</t>
  </si>
  <si>
    <t>BANJO</t>
  </si>
  <si>
    <t>NM-0000-0136901</t>
  </si>
  <si>
    <t>BANJO BOLT</t>
  </si>
  <si>
    <t>NM-0000-0034401</t>
  </si>
  <si>
    <t>SEALING RING</t>
  </si>
  <si>
    <t>MEMBRANE</t>
  </si>
  <si>
    <t>SGTS70-90_9W1C7</t>
  </si>
  <si>
    <t>DA40.153300</t>
  </si>
  <si>
    <t>RUBBER HOSE, 80x5 SOLD BY METER</t>
  </si>
  <si>
    <t>FUEL HOSE, GATES 4219-3681-6.3MM</t>
  </si>
  <si>
    <t>STUD W/8130-3</t>
  </si>
  <si>
    <t>CABLE I/W 10-395427-8</t>
  </si>
  <si>
    <t>IGNITION NSN:2925-00</t>
  </si>
  <si>
    <t>M83248/1-009</t>
  </si>
  <si>
    <t>M83248/1-115</t>
  </si>
  <si>
    <t>PACKING I/W MS9388-115</t>
  </si>
  <si>
    <t>MS9134-01</t>
  </si>
  <si>
    <t>H.P BEED VALVE</t>
  </si>
  <si>
    <t>IGNITION EXCITER</t>
  </si>
  <si>
    <t>SEAT</t>
  </si>
  <si>
    <t>GROUND WIRE, ELECTRICAL</t>
  </si>
  <si>
    <t>RC1457</t>
  </si>
  <si>
    <t>HANDSTAFF</t>
  </si>
  <si>
    <t>BD/ASSY CPU</t>
  </si>
  <si>
    <t>CONFIGURATION NOTICE</t>
  </si>
  <si>
    <t>ASSY/LCD 6D/N/A40800-6 DIG/ALPHA</t>
  </si>
  <si>
    <t>M39006/22-0100</t>
  </si>
  <si>
    <t>C40257</t>
  </si>
  <si>
    <t>BRUSH</t>
  </si>
  <si>
    <t>PELLET</t>
  </si>
  <si>
    <t>DA4-2738-10-70</t>
  </si>
  <si>
    <t>TRIM WHEEL</t>
  </si>
  <si>
    <t>MAINWHEEL HUB</t>
  </si>
  <si>
    <t>AN3C4A</t>
  </si>
  <si>
    <t>D41-7326-00-03</t>
  </si>
  <si>
    <t>MIXTURE BOWDEN MOUNT</t>
  </si>
  <si>
    <t>DA40-103</t>
  </si>
  <si>
    <t>RISER ASSY CYLINDER</t>
  </si>
  <si>
    <t>DAI-9076-00-04</t>
  </si>
  <si>
    <t>BOWDEN CABLE ALTERNATE AIR</t>
  </si>
  <si>
    <t>DIN94-2.5X28-ZP</t>
  </si>
  <si>
    <t>DIN985-M6-A2</t>
  </si>
  <si>
    <t>NUT LOCKING</t>
  </si>
  <si>
    <t>DA1-9079-00-01</t>
  </si>
  <si>
    <t>OIL COOLER</t>
  </si>
  <si>
    <t>DA4-5183-00-61</t>
  </si>
  <si>
    <t>TAIL SKID</t>
  </si>
  <si>
    <t>AE3663162H0157</t>
  </si>
  <si>
    <t>AE3663161H0313</t>
  </si>
  <si>
    <t>J-9613-58</t>
  </si>
  <si>
    <t>SHOCK MOUNT ASSEMBLY</t>
  </si>
  <si>
    <t>MS27039-1-08</t>
  </si>
  <si>
    <t>SCREW, MACHINE</t>
  </si>
  <si>
    <t>NAS1149F0332P</t>
  </si>
  <si>
    <t>WASHER,FLAT</t>
  </si>
  <si>
    <t>MS35207-265</t>
  </si>
  <si>
    <t>MS35207-266</t>
  </si>
  <si>
    <t>M25988/1-010</t>
  </si>
  <si>
    <t>M83461/1-111</t>
  </si>
  <si>
    <t>M83461/2-906</t>
  </si>
  <si>
    <t>M83461/2-908</t>
  </si>
  <si>
    <t>MS21042-4</t>
  </si>
  <si>
    <t>LOCK NUT</t>
  </si>
  <si>
    <t>MS28774-222</t>
  </si>
  <si>
    <t>MS28775-222</t>
  </si>
  <si>
    <t>MS28034-3</t>
  </si>
  <si>
    <t>MS21042L04</t>
  </si>
  <si>
    <t>AN5-55</t>
  </si>
  <si>
    <t>MS28775-012</t>
  </si>
  <si>
    <t>S3278C10</t>
  </si>
  <si>
    <t>MS28778-8</t>
  </si>
  <si>
    <t>A7079B24</t>
  </si>
  <si>
    <t>WARN LAMP</t>
  </si>
  <si>
    <t>LAMP-HALOGEN,28V,75W</t>
  </si>
  <si>
    <t>AN525-832R7</t>
  </si>
  <si>
    <t>NAS1169C8</t>
  </si>
  <si>
    <t>WICK</t>
  </si>
  <si>
    <t>S2319-3</t>
  </si>
  <si>
    <t>STUD</t>
  </si>
  <si>
    <t>S2319-2</t>
  </si>
  <si>
    <t>TRC4</t>
  </si>
  <si>
    <t>VALVE CORE</t>
  </si>
  <si>
    <t>TR725-02</t>
  </si>
  <si>
    <t>STEM</t>
  </si>
  <si>
    <t>LM29749</t>
  </si>
  <si>
    <t>LM29710</t>
  </si>
  <si>
    <t>FUSE PLUG</t>
  </si>
  <si>
    <t>MS28775-014</t>
  </si>
  <si>
    <t>AN4H10A</t>
  </si>
  <si>
    <t>WA7079B24</t>
  </si>
  <si>
    <t>LAMP 28V</t>
  </si>
  <si>
    <t>NOSE JACK</t>
  </si>
  <si>
    <t>WING JACK</t>
  </si>
  <si>
    <t>TOW BAR</t>
  </si>
  <si>
    <t>RF80K</t>
  </si>
  <si>
    <t>BATTERY CHARGER ANALYZER</t>
  </si>
  <si>
    <t>CABIN PRESSURIZATION UNIT</t>
  </si>
  <si>
    <t>CJMDX25-001</t>
  </si>
  <si>
    <t>WEMAC TOOL</t>
  </si>
  <si>
    <t>CJMD827-002</t>
  </si>
  <si>
    <t>TEST EQUIP FREEP</t>
  </si>
  <si>
    <t>CJMD827-003</t>
  </si>
  <si>
    <t>RUDDER TRIM TAB CHECK FIXTURE</t>
  </si>
  <si>
    <t>CJMD827-005</t>
  </si>
  <si>
    <t>TOOL AFTER RUDDER</t>
  </si>
  <si>
    <t>CJMD130-100</t>
  </si>
  <si>
    <t>WINDSHIELD BLEED AIR ANTI-ICE TEST TUBE</t>
  </si>
  <si>
    <t>NITROGEN CHARGER UNIT</t>
  </si>
  <si>
    <t>CJMD832-006</t>
  </si>
  <si>
    <t>TOOL MAIN LANDING GEAR</t>
  </si>
  <si>
    <t>CJMD832-007</t>
  </si>
  <si>
    <t>GAUGE BEARING RE</t>
  </si>
  <si>
    <t>CJMD832-005</t>
  </si>
  <si>
    <t>TOOL WRENCH MAIN</t>
  </si>
  <si>
    <t>DPS-500</t>
  </si>
  <si>
    <t>PORTABLE AIR DATA TESTER</t>
  </si>
  <si>
    <t>CJMD853-001</t>
  </si>
  <si>
    <t>LIGHTINGS DIVERTE</t>
  </si>
  <si>
    <t>ENGINE BUILD UP DOLLY</t>
  </si>
  <si>
    <t>K-2032</t>
  </si>
  <si>
    <t>ENGINE ADAPTER NOT INCLUDED</t>
  </si>
  <si>
    <t>ENGINE LIFT SLING</t>
  </si>
  <si>
    <t>MS3476L8-98P</t>
  </si>
  <si>
    <t>C5116</t>
  </si>
  <si>
    <t>MS24266R22B55SN</t>
  </si>
  <si>
    <t>MS27291-6</t>
  </si>
  <si>
    <t>CABLE SUPPORT ASSY.</t>
  </si>
  <si>
    <t>M39029/32-260</t>
  </si>
  <si>
    <t>CONTACT PIN</t>
  </si>
  <si>
    <t>RESISTOR FUSE</t>
  </si>
  <si>
    <t>NAMEPLATE</t>
  </si>
  <si>
    <t>MS15573-356</t>
  </si>
  <si>
    <t>OL6839BPE</t>
  </si>
  <si>
    <t>BACC45FM14-7P6</t>
  </si>
  <si>
    <t>BACC45FM14-7P</t>
  </si>
  <si>
    <t>ALTREG ALTERNATOR CONTROL UNIT</t>
  </si>
  <si>
    <t>395.462_001_002G</t>
  </si>
  <si>
    <t>COOLANT LEVEL SENSOR</t>
  </si>
  <si>
    <t>RESISTOR 100</t>
  </si>
  <si>
    <t>IGNITION SWITCH DA42</t>
  </si>
  <si>
    <t>DIN471-10-VERZ</t>
  </si>
  <si>
    <t>LOCKING RING</t>
  </si>
  <si>
    <t>DV2-1200-00-02</t>
  </si>
  <si>
    <t>E915106</t>
  </si>
  <si>
    <t>CONNECTION-ADAPTER D6</t>
  </si>
  <si>
    <t>E921106</t>
  </si>
  <si>
    <t>MS24665-428</t>
  </si>
  <si>
    <t>QD21000</t>
  </si>
  <si>
    <t>RS1A220</t>
  </si>
  <si>
    <t>RESISITOR</t>
  </si>
  <si>
    <t>GP360-A2B1</t>
  </si>
  <si>
    <t>GLOW LOOM REV. R2</t>
  </si>
  <si>
    <t>NAS1611-215</t>
  </si>
  <si>
    <t>701-0785-01 IS OBSOLETE .63</t>
  </si>
  <si>
    <t>ASSY/ENCODER DUAL-DUAL</t>
  </si>
  <si>
    <t>WIRE</t>
  </si>
  <si>
    <t>SHEET</t>
  </si>
  <si>
    <t>S9008Y124</t>
  </si>
  <si>
    <t>MS171430</t>
  </si>
  <si>
    <t>SPRING PIN</t>
  </si>
  <si>
    <t>GASKET OIL LEVER GAG</t>
  </si>
  <si>
    <t>S8990-010</t>
  </si>
  <si>
    <t>NAS1216-4E12</t>
  </si>
  <si>
    <t>VALVE,SOLENOID</t>
  </si>
  <si>
    <t>VEGS0337</t>
  </si>
  <si>
    <t>RTV103</t>
  </si>
  <si>
    <t>SILCONE SEALANT, COLOR-BLACK</t>
  </si>
  <si>
    <t>M38510/10101BCA</t>
  </si>
  <si>
    <t>S34781-135H5</t>
  </si>
  <si>
    <t>E01-05</t>
  </si>
  <si>
    <t>M83248/1-226</t>
  </si>
  <si>
    <t>TL37330</t>
  </si>
  <si>
    <t>Y197</t>
  </si>
  <si>
    <t>DIE</t>
  </si>
  <si>
    <t>LIGHT LANDING</t>
  </si>
  <si>
    <t>SS1001</t>
  </si>
  <si>
    <t>SLICK STARTER</t>
  </si>
  <si>
    <t>REAR CYLINDER STOP RIGHT</t>
  </si>
  <si>
    <t>REAR CYLINDER STOP LEFT</t>
  </si>
  <si>
    <t>WASHER, RUBBER</t>
  </si>
  <si>
    <t>FITTING BOLT</t>
  </si>
  <si>
    <t>STRAP, ATTACHMENT, CYLINDER</t>
  </si>
  <si>
    <t>PROTECTOR LH</t>
  </si>
  <si>
    <t>PROTECTCR LH</t>
  </si>
  <si>
    <t>SEALING SHEATH</t>
  </si>
  <si>
    <t>UNIT ASSY, LH REAR</t>
  </si>
  <si>
    <t>UNIT ASSY, RH REAR</t>
  </si>
  <si>
    <t>NUT SELF LOCKING</t>
  </si>
  <si>
    <t>BASE</t>
  </si>
  <si>
    <t>SNJ54HC240J</t>
  </si>
  <si>
    <t>SNJ54HC273J</t>
  </si>
  <si>
    <t>SCD313-36-4</t>
  </si>
  <si>
    <t>INDUCTOR</t>
  </si>
  <si>
    <t>R6HR793ZA</t>
  </si>
  <si>
    <t>VGPS2705</t>
  </si>
  <si>
    <t>PANEL BLINDER</t>
  </si>
  <si>
    <t>MS51861-1C</t>
  </si>
  <si>
    <t>GREASE FELT/SEAL</t>
  </si>
  <si>
    <t>A800100-3</t>
  </si>
  <si>
    <t>FIREX LAV</t>
  </si>
  <si>
    <t>EXCITER</t>
  </si>
  <si>
    <t>FUEL QTY INDICATOR</t>
  </si>
  <si>
    <t>UNIT AY</t>
  </si>
  <si>
    <t>COMPUTER</t>
  </si>
  <si>
    <t>BREAKER PANEL</t>
  </si>
  <si>
    <t>MODULE</t>
  </si>
  <si>
    <t>S162-0020-00</t>
  </si>
  <si>
    <t>RECORDER</t>
  </si>
  <si>
    <t>CYL AY</t>
  </si>
  <si>
    <t>CREW OXYGEN MASK (HAZ)</t>
  </si>
  <si>
    <t>RECORDER ASSY</t>
  </si>
  <si>
    <t>G6076-05</t>
  </si>
  <si>
    <t>PANEL VHF</t>
  </si>
  <si>
    <t>MANIFOLD</t>
  </si>
  <si>
    <t>LIGHT AY</t>
  </si>
  <si>
    <t>NUT-FLTG</t>
  </si>
  <si>
    <t>BACB30LU3-5</t>
  </si>
  <si>
    <t>BACT12AC16</t>
  </si>
  <si>
    <t>TERMINAL</t>
  </si>
  <si>
    <t>C22102-499-101</t>
  </si>
  <si>
    <t>LATCH, MODIFIED</t>
  </si>
  <si>
    <t>M83248-2-228</t>
  </si>
  <si>
    <t>SEAT ASSY</t>
  </si>
  <si>
    <t>D717-01-090</t>
  </si>
  <si>
    <t>R4T2D3A</t>
  </si>
  <si>
    <t>MS24693C49</t>
  </si>
  <si>
    <t>SCREW CSK HD 8-32UNC X .437</t>
  </si>
  <si>
    <t>LIGHT ASSY</t>
  </si>
  <si>
    <t>INNER WH1 ASSY</t>
  </si>
  <si>
    <t>OUTER WHEEL HALF ASSY</t>
  </si>
  <si>
    <t>BLACK STEEL BRAKE DISC</t>
  </si>
  <si>
    <t>BW1-B14-RB6-FB4-100</t>
  </si>
  <si>
    <t>DS BONDING WIRE</t>
  </si>
  <si>
    <t>BW1-B14-RB6-RB6-200</t>
  </si>
  <si>
    <t>ADAPTOR</t>
  </si>
  <si>
    <t>POSITIVE DRIVE BELT</t>
  </si>
  <si>
    <t>SHAFT</t>
  </si>
  <si>
    <t>R6HR90A</t>
  </si>
  <si>
    <t>PROTECTOR</t>
  </si>
  <si>
    <t>PACKING PERFORMED</t>
  </si>
  <si>
    <t>TUBE NOSE WHEEL(5.00X5)</t>
  </si>
  <si>
    <t>DIN965-AM4X16-A2</t>
  </si>
  <si>
    <t>TL37255</t>
  </si>
  <si>
    <t>AN850834B</t>
  </si>
  <si>
    <t>CROWFOOT FLARE NU</t>
  </si>
  <si>
    <t>SW424</t>
  </si>
  <si>
    <t>FC022A</t>
  </si>
  <si>
    <t>CROWFOOT</t>
  </si>
  <si>
    <t>FC018A</t>
  </si>
  <si>
    <t>FC012A</t>
  </si>
  <si>
    <t>FC014A</t>
  </si>
  <si>
    <t>FC016A</t>
  </si>
  <si>
    <t>FC020A</t>
  </si>
  <si>
    <t>FC024A</t>
  </si>
  <si>
    <t>FC026A</t>
  </si>
  <si>
    <t>FC028A</t>
  </si>
  <si>
    <t>FC030A</t>
  </si>
  <si>
    <t>FC032A</t>
  </si>
  <si>
    <t>TMU161A</t>
  </si>
  <si>
    <t>FLEXOCKET</t>
  </si>
  <si>
    <t>CJMD832-002</t>
  </si>
  <si>
    <t>BOX BREAKOUT SQU</t>
  </si>
  <si>
    <t>TRANSISITOR</t>
  </si>
  <si>
    <t>DIODE:-RECT 1 PHASE BRIDGE 1000V</t>
  </si>
  <si>
    <t>NAS1611-013</t>
  </si>
  <si>
    <t>A1179402</t>
  </si>
  <si>
    <t>TORQUER-POT</t>
  </si>
  <si>
    <t>RV104-0289-004</t>
  </si>
  <si>
    <t>TOR POWER FILM</t>
  </si>
  <si>
    <t>OVERHAUL KIT</t>
  </si>
  <si>
    <t>NAS1611-210</t>
  </si>
  <si>
    <t>ELECTRICAL ASSY</t>
  </si>
  <si>
    <t>MIL-T-43435B TY2 FNC SZ5</t>
  </si>
  <si>
    <t>LACING TAPE PER</t>
  </si>
  <si>
    <t>V25W849007-501</t>
  </si>
  <si>
    <t>BATTERY FOR EMERGENCY LIGHT</t>
  </si>
  <si>
    <t>BATTERY,414377,GALAXY</t>
  </si>
  <si>
    <t>RADIO ALTIMETER</t>
  </si>
  <si>
    <t>MS24665-155</t>
  </si>
  <si>
    <t>S30631-214</t>
  </si>
  <si>
    <t>MKSP4</t>
  </si>
  <si>
    <t>CEC-401-214-01</t>
  </si>
  <si>
    <t>SCRAPER</t>
  </si>
  <si>
    <t>MS24264R14B7PN</t>
  </si>
  <si>
    <t>CONSTANT SPEED DRIVE</t>
  </si>
  <si>
    <t>BJ-ST-468</t>
  </si>
  <si>
    <t>BJ-ST-468-1</t>
  </si>
  <si>
    <t>DBS-1100</t>
  </si>
  <si>
    <t>DBS-1100-32</t>
  </si>
  <si>
    <t>DBS-R03</t>
  </si>
  <si>
    <t>DBS-BR1</t>
  </si>
  <si>
    <t>RD241-AV1B2</t>
  </si>
  <si>
    <t>BP259-AV1B2</t>
  </si>
  <si>
    <t>SG2003J</t>
  </si>
  <si>
    <t>J-G2F-009</t>
  </si>
  <si>
    <t>SCAT-12</t>
  </si>
  <si>
    <t>R4G</t>
  </si>
  <si>
    <t>COTTER</t>
  </si>
  <si>
    <t>HANDLE</t>
  </si>
  <si>
    <t>LC-R121R3PG</t>
  </si>
  <si>
    <t>ALTERNATOR EXCIATION BATTERY</t>
  </si>
  <si>
    <t>FITTING D6</t>
  </si>
  <si>
    <t>M23053/5-103-4</t>
  </si>
  <si>
    <t>INSULATOR</t>
  </si>
  <si>
    <t>M23053/5-104-4</t>
  </si>
  <si>
    <t>INSULTING</t>
  </si>
  <si>
    <t>M23053/5-106-4</t>
  </si>
  <si>
    <t>THERMOFIT TUBING</t>
  </si>
  <si>
    <t>M23053/5-107-4</t>
  </si>
  <si>
    <t>M23053/5-108-4</t>
  </si>
  <si>
    <t>THERMOFIR TUBE</t>
  </si>
  <si>
    <t>MS27488-16-1</t>
  </si>
  <si>
    <t>BACC47CP2T</t>
  </si>
  <si>
    <t>SOCKET-C</t>
  </si>
  <si>
    <t>MS24673-1</t>
  </si>
  <si>
    <t>BATTERY PACK</t>
  </si>
  <si>
    <t>BOARD</t>
  </si>
  <si>
    <t>GTE20-01</t>
  </si>
  <si>
    <t>S30071-217-10PH</t>
  </si>
  <si>
    <t>LAMP-DOME MFG CERT</t>
  </si>
  <si>
    <t>BP616-AV1B1</t>
  </si>
  <si>
    <t>A-7090-645-A</t>
  </si>
  <si>
    <t>CASSETTE COMPARTMENT BLOCK ASSY</t>
  </si>
  <si>
    <t>SWITCH PUSH</t>
  </si>
  <si>
    <t>R071618R11SN-000</t>
  </si>
  <si>
    <t>M39018-07-0278M</t>
  </si>
  <si>
    <t>M1177-9-02C028</t>
  </si>
  <si>
    <t>CORPERWIRE</t>
  </si>
  <si>
    <t>M83248/1-904</t>
  </si>
  <si>
    <t>MS28782-19</t>
  </si>
  <si>
    <t>D60-2560-91-00</t>
  </si>
  <si>
    <t>EMERGENCY BATTERY ASSY</t>
  </si>
  <si>
    <t>D41-3223-00-30</t>
  </si>
  <si>
    <t>AXLE BUSHING</t>
  </si>
  <si>
    <t>MS21059L08</t>
  </si>
  <si>
    <t>ANCHOR NUT, FLOATING</t>
  </si>
  <si>
    <t>MS24694S52</t>
  </si>
  <si>
    <t>SCREW HK STOCK</t>
  </si>
  <si>
    <t>MS27039-1-05</t>
  </si>
  <si>
    <t>SCREW, 10-32UNF PAN HD X.344</t>
  </si>
  <si>
    <t>MS21075L08N</t>
  </si>
  <si>
    <t>NUT PLATE</t>
  </si>
  <si>
    <t>NAS1474A3</t>
  </si>
  <si>
    <t>MS21059L3</t>
  </si>
  <si>
    <t>MS24694S5</t>
  </si>
  <si>
    <t>SCREW,8-32UNC CSK HD X.531LG</t>
  </si>
  <si>
    <t>NAS1388-4</t>
  </si>
  <si>
    <t>SPLICE CONDUCTOR W/MFG COC</t>
  </si>
  <si>
    <t>NYLON NYLON INSU 1PKG=50EA</t>
  </si>
  <si>
    <t>NYLON INSULATED 1PKG=50EA</t>
  </si>
  <si>
    <t>CCR06CG103JR</t>
  </si>
  <si>
    <t>PAD AY</t>
  </si>
  <si>
    <t>INDER POINTER</t>
  </si>
  <si>
    <t>GASKET REV. R2</t>
  </si>
  <si>
    <t>GASKET REV.R2</t>
  </si>
  <si>
    <t>PACKING FREON BYPASS</t>
  </si>
  <si>
    <t>MIG</t>
  </si>
  <si>
    <t>AWR P-17</t>
  </si>
  <si>
    <t>PRISM KIT</t>
  </si>
  <si>
    <t>D41-3223-10-00_1</t>
  </si>
  <si>
    <t>NLG STRUT</t>
  </si>
  <si>
    <t>MS20995C020</t>
  </si>
  <si>
    <t>LOCKING WIRE</t>
  </si>
  <si>
    <t>TIRE,22x6.75x10-8PR</t>
  </si>
  <si>
    <t>START NOZZEL</t>
  </si>
  <si>
    <t>BEARING CUP/CONE</t>
  </si>
  <si>
    <t>A2043-1</t>
  </si>
  <si>
    <t>ELASTIC NUT</t>
  </si>
  <si>
    <t>DIN985-M12-A2</t>
  </si>
  <si>
    <t>ISO7380-M5X12-A2</t>
  </si>
  <si>
    <t>SCREW, HEXAGON SOCKET BUTTON HEAD</t>
  </si>
  <si>
    <t>BW1-B14-RB6-RB6-160</t>
  </si>
  <si>
    <t>MS28775-267</t>
  </si>
  <si>
    <t>DIN965-AM4X12-A2</t>
  </si>
  <si>
    <t>BW1-B14-RB6-RB10-060</t>
  </si>
  <si>
    <t>CABLE ADJUSTMENT RUDDER</t>
  </si>
  <si>
    <t>ROCKET ASSY, VALVE INTAKE</t>
  </si>
  <si>
    <t>PACKING PREFORMED</t>
  </si>
  <si>
    <t>LW-12892</t>
  </si>
  <si>
    <t>THRUST BUTTON ROCKER SHAFT</t>
  </si>
  <si>
    <t>P7-DRA1124</t>
  </si>
  <si>
    <t>AR9202</t>
  </si>
  <si>
    <t>WATER FAUCET</t>
  </si>
  <si>
    <t>STD-692</t>
  </si>
  <si>
    <t>MS20995C-32</t>
  </si>
  <si>
    <t>SCREW CLUTCH-CRANKSHAFT</t>
  </si>
  <si>
    <t>SCREWS CLUTCH</t>
  </si>
  <si>
    <t>SHIMS CLUTCH</t>
  </si>
  <si>
    <t>W101P6</t>
  </si>
  <si>
    <t>LAMP ML</t>
  </si>
  <si>
    <t>DIN7337-A2.4X5.1</t>
  </si>
  <si>
    <t>LN29987-A05</t>
  </si>
  <si>
    <t>HANGER</t>
  </si>
  <si>
    <t>M6106-24-001</t>
  </si>
  <si>
    <t>COMLOCK GROMMET</t>
  </si>
  <si>
    <t>TIRE</t>
  </si>
  <si>
    <t>A1020</t>
  </si>
  <si>
    <t>DIN94-1.6X10-A2</t>
  </si>
  <si>
    <t>FIA375</t>
  </si>
  <si>
    <t>FILTER GASCULATOR</t>
  </si>
  <si>
    <t>MS29513-006</t>
  </si>
  <si>
    <t>LIGHT WING TIP LEFT</t>
  </si>
  <si>
    <t>S30640-012</t>
  </si>
  <si>
    <t>NAS1611-016A</t>
  </si>
  <si>
    <t>PAKCING</t>
  </si>
  <si>
    <t>NAS1611-015A</t>
  </si>
  <si>
    <t>COMBUSTR</t>
  </si>
  <si>
    <t>M39016-29-055M</t>
  </si>
  <si>
    <t>MS24665-208</t>
  </si>
  <si>
    <t>PCB ASSY-A3</t>
  </si>
  <si>
    <t>PLATE</t>
  </si>
  <si>
    <t>MS27257-1</t>
  </si>
  <si>
    <t>CR3213-4-09</t>
  </si>
  <si>
    <t>CR MAX RIVET</t>
  </si>
  <si>
    <t>CR3213-5-11</t>
  </si>
  <si>
    <t>CR3213-6-12</t>
  </si>
  <si>
    <t>CR3212-4-09</t>
  </si>
  <si>
    <t>CR3212-5-11</t>
  </si>
  <si>
    <t>CR3212-8-11</t>
  </si>
  <si>
    <t>G7189-04</t>
  </si>
  <si>
    <t>BACC45FT20-41S</t>
  </si>
  <si>
    <t>BACC45FT20-41S6</t>
  </si>
  <si>
    <t>I-6662019K03</t>
  </si>
  <si>
    <t>BOWDENCABLE IN PTFE-FINISH</t>
  </si>
  <si>
    <t>DOOR AY</t>
  </si>
  <si>
    <t>R4V25A619A54</t>
  </si>
  <si>
    <t>BW1-B14-RB8-RB6-080</t>
  </si>
  <si>
    <t>NOZZLE</t>
  </si>
  <si>
    <t>D41-3213-11-30_1</t>
  </si>
  <si>
    <t>AXLE, MAIN LANDING GEAR</t>
  </si>
  <si>
    <t>DIN7985-AM4X20-A2</t>
  </si>
  <si>
    <t>SCREW SUPERCEDE DIN964-AMX435-A2</t>
  </si>
  <si>
    <t>MS9144-01</t>
  </si>
  <si>
    <t>GASKET SUPERCEDE MS9144</t>
  </si>
  <si>
    <t>LENS,CLEAR,USE ON A600 TAILLIGHT</t>
  </si>
  <si>
    <t>LENS, CLEAR</t>
  </si>
  <si>
    <t>VALVE SELFCLOSSING MAGNETIC</t>
  </si>
  <si>
    <t>AS3217-117</t>
  </si>
  <si>
    <t>CH31956</t>
  </si>
  <si>
    <t>IGNITOR</t>
  </si>
  <si>
    <t>S3322S10-15</t>
  </si>
  <si>
    <t>SHIMS 6X12X1 REV.R1</t>
  </si>
  <si>
    <t>SHIMS 6X12X0,1 REV.R1</t>
  </si>
  <si>
    <t>SHIMS 6X12X0,2 REV.R1</t>
  </si>
  <si>
    <t>SHIMS 6X12X0,3 REV.R1</t>
  </si>
  <si>
    <t>SHIMS 6X12X0,5 REV.R1</t>
  </si>
  <si>
    <t>GASKET IGNITER</t>
  </si>
  <si>
    <t>MS9371-16</t>
  </si>
  <si>
    <t>T3-31221D</t>
  </si>
  <si>
    <t>MS20002C5</t>
  </si>
  <si>
    <t>BACS21DD1G</t>
  </si>
  <si>
    <t>LCD DUAL</t>
  </si>
  <si>
    <t>PJ068</t>
  </si>
  <si>
    <t>KW104S</t>
  </si>
  <si>
    <t>SHS2366-15</t>
  </si>
  <si>
    <t>WASHER, STAR</t>
  </si>
  <si>
    <t>R01910X100A21A7</t>
  </si>
  <si>
    <t>O-RING 19.1X1 21A7</t>
  </si>
  <si>
    <t>R01000X200A20B6</t>
  </si>
  <si>
    <t>R00220X160A20B6</t>
  </si>
  <si>
    <t>R00600X100A50D6</t>
  </si>
  <si>
    <t>EROS LOCKING BLOCK</t>
  </si>
  <si>
    <t>R00640X190A50D5</t>
  </si>
  <si>
    <t>JT 6,4X1,9 50D5</t>
  </si>
  <si>
    <t>R00490X190A50D6</t>
  </si>
  <si>
    <t>R00590X150A50D6</t>
  </si>
  <si>
    <t>O-RING 5.9X1.5 50D6</t>
  </si>
  <si>
    <t>DISK SA</t>
  </si>
  <si>
    <t>LINING</t>
  </si>
  <si>
    <t>M25988-1-269</t>
  </si>
  <si>
    <t>AS3582-254</t>
  </si>
  <si>
    <t>MS16625-4150</t>
  </si>
  <si>
    <t>GYR8A26</t>
  </si>
  <si>
    <t>GYR8A14</t>
  </si>
  <si>
    <t>LINING,BRAKE</t>
  </si>
  <si>
    <t>TUBE SWG</t>
  </si>
  <si>
    <t>NAS1611-223A</t>
  </si>
  <si>
    <t>NAS1611-011A</t>
  </si>
  <si>
    <t>BAFFLE</t>
  </si>
  <si>
    <t>LCD ASSY</t>
  </si>
  <si>
    <t>FUEL LEVEL, XDUCER, 20"</t>
  </si>
  <si>
    <t>S2800-204</t>
  </si>
  <si>
    <t>N5000-118H</t>
  </si>
  <si>
    <t>NAS1805-10P</t>
  </si>
  <si>
    <t>MS27612-5</t>
  </si>
  <si>
    <t>M25988/1-013</t>
  </si>
  <si>
    <t>NAS1612-3</t>
  </si>
  <si>
    <t>06E19769-1.25</t>
  </si>
  <si>
    <t>XDUCER CHT</t>
  </si>
  <si>
    <t>STATIC DISCHARGER</t>
  </si>
  <si>
    <t>SEAL, INTAKE RING</t>
  </si>
  <si>
    <t>AN526C1032R8</t>
  </si>
  <si>
    <t>NAS1149F0563P</t>
  </si>
  <si>
    <t>WASHER FLAT 5/16 UN</t>
  </si>
  <si>
    <t>AN960C516</t>
  </si>
  <si>
    <t>BW1-B14-RB6-FB4-150</t>
  </si>
  <si>
    <t>BONDING WIRE ASSY, 150MM</t>
  </si>
  <si>
    <t>CAV-180</t>
  </si>
  <si>
    <t>VALVE DVAIN</t>
  </si>
  <si>
    <t>DA40-1</t>
  </si>
  <si>
    <t>RISER ASSY</t>
  </si>
  <si>
    <t>DA40-102</t>
  </si>
  <si>
    <t>DA40-105</t>
  </si>
  <si>
    <t>DIN980-VM5-A2</t>
  </si>
  <si>
    <t>ISO7380-M3X10-A2</t>
  </si>
  <si>
    <t>LN9037-06028</t>
  </si>
  <si>
    <t>MS21043-3</t>
  </si>
  <si>
    <t>NUT, SELF-LOCKING</t>
  </si>
  <si>
    <t>MS21044N4</t>
  </si>
  <si>
    <t>MS35769-11</t>
  </si>
  <si>
    <t>STD-1410</t>
  </si>
  <si>
    <t>STD-160</t>
  </si>
  <si>
    <t>STD425</t>
  </si>
  <si>
    <t>STD713</t>
  </si>
  <si>
    <t>STD-8</t>
  </si>
  <si>
    <t>CAMLOCK</t>
  </si>
  <si>
    <t>DIN965-AM4X12-BZP</t>
  </si>
  <si>
    <t>BLEEDER SEAT</t>
  </si>
  <si>
    <t>SCREW BLEEDER</t>
  </si>
  <si>
    <t>BRACKET ALT</t>
  </si>
  <si>
    <t>POPPET</t>
  </si>
  <si>
    <t>CABLE IGNITION</t>
  </si>
  <si>
    <t>LOCK PLATE</t>
  </si>
  <si>
    <t>SI-50080</t>
  </si>
  <si>
    <t>CONN LEDMAGJACK 10/100/1000BT</t>
  </si>
  <si>
    <t>S33865-19H10</t>
  </si>
  <si>
    <t>MS9386-006</t>
  </si>
  <si>
    <t>AS-01</t>
  </si>
  <si>
    <t>AIRCRAFT TIRE/WHEEL BLANCER</t>
  </si>
  <si>
    <t>NAS1611-218A</t>
  </si>
  <si>
    <t>RG6</t>
  </si>
  <si>
    <t>GROMMET</t>
  </si>
  <si>
    <t>PUSH-ON</t>
  </si>
  <si>
    <t>RING RET</t>
  </si>
  <si>
    <t>B-3599</t>
  </si>
  <si>
    <t>SELF LOCK NUT</t>
  </si>
  <si>
    <t>EJECTOR DIAPHRAGM</t>
  </si>
  <si>
    <t>VALVE,MAIN</t>
  </si>
  <si>
    <t>DIAPHPAGM</t>
  </si>
  <si>
    <t>LOCK BLOCK</t>
  </si>
  <si>
    <t>H144815</t>
  </si>
  <si>
    <t>LEAFSPRING</t>
  </si>
  <si>
    <t>M25988-3-013</t>
  </si>
  <si>
    <t>GEAR</t>
  </si>
  <si>
    <t>FLAG</t>
  </si>
  <si>
    <t>SWCH/ASSY-2 POLE 3 POS W/CONCENTR</t>
  </si>
  <si>
    <t>JOINT RATARY</t>
  </si>
  <si>
    <t>NAS1611-008A</t>
  </si>
  <si>
    <t>MS28774-012</t>
  </si>
  <si>
    <t>RETAINER/BACKUP</t>
  </si>
  <si>
    <t>NAS1611-230A</t>
  </si>
  <si>
    <t>MS28774-218</t>
  </si>
  <si>
    <t>CP-368-U</t>
  </si>
  <si>
    <t>POINTER REAR</t>
  </si>
  <si>
    <t>KCJ2A</t>
  </si>
  <si>
    <t>AN960C8</t>
  </si>
  <si>
    <t>Q4681</t>
  </si>
  <si>
    <t>TRANSORB: -TVS VC=53.3 IPPM=28.1 S</t>
  </si>
  <si>
    <t>TRANSITR: - HEXFET VDSS=100V ID=7.7</t>
  </si>
  <si>
    <t>SWITCH: - P/B SPST(NO)SHRT MOM PC</t>
  </si>
  <si>
    <t>K709</t>
  </si>
  <si>
    <t>S2010CPZ122J20</t>
  </si>
  <si>
    <t>RESISTER</t>
  </si>
  <si>
    <t>HLMP2500</t>
  </si>
  <si>
    <t>PUSH BUTTON</t>
  </si>
  <si>
    <t>BRAKE</t>
  </si>
  <si>
    <t>AC PART</t>
  </si>
  <si>
    <t>SMOKE DETECTOR</t>
  </si>
  <si>
    <t>ELECTRONIC FLIGHT INSTRUMENT C</t>
  </si>
  <si>
    <t>XCVR</t>
  </si>
  <si>
    <t>DETECTOR</t>
  </si>
  <si>
    <t>AHA1290</t>
  </si>
  <si>
    <t>UNIT</t>
  </si>
  <si>
    <t>TFC16-0029-1</t>
  </si>
  <si>
    <t>TIMER</t>
  </si>
  <si>
    <t>TFC12-0053-5</t>
  </si>
  <si>
    <t>PANEL, STANDARD CONTROL</t>
  </si>
  <si>
    <t>TFC12-0061-4</t>
  </si>
  <si>
    <t>AUTO FIRE CONTRO PANEL</t>
  </si>
  <si>
    <t>EHSI</t>
  </si>
  <si>
    <t>BACB10FU10J</t>
  </si>
  <si>
    <t>CHRS-4CFR-16</t>
  </si>
  <si>
    <t>MS20002-5</t>
  </si>
  <si>
    <t>MS20005-25</t>
  </si>
  <si>
    <t>NAS1149-F0563P</t>
  </si>
  <si>
    <t>AN5-13A</t>
  </si>
  <si>
    <t>BOLT-HEX.HD.5/16-24UNF 1.469LG</t>
  </si>
  <si>
    <t>CT-450</t>
  </si>
  <si>
    <t>TRTRACTABLE GAP GAUGE</t>
  </si>
  <si>
    <t>CONTAINER ASSEMBLY</t>
  </si>
  <si>
    <t>ALD-21</t>
  </si>
  <si>
    <t>SPACER, ROTOR SHAFT</t>
  </si>
  <si>
    <t>LW-31-0.94</t>
  </si>
  <si>
    <t>BOLT ALTERNATOR BRACKET</t>
  </si>
  <si>
    <t>PULLEY, ALTERNATOR</t>
  </si>
  <si>
    <t>NUT &amp; WASHER PKG</t>
  </si>
  <si>
    <t>RESISTOR: - CAR/FILM 1 WATT 82,000</t>
  </si>
  <si>
    <t>FITTING FLAG MTG - E/I: FLAG MTG</t>
  </si>
  <si>
    <t>MASK PORTABLE</t>
  </si>
  <si>
    <t>FUEL PUMP TILTER</t>
  </si>
  <si>
    <t>BACC47CN1S</t>
  </si>
  <si>
    <t>BACS21X8C</t>
  </si>
  <si>
    <t>S9026L111</t>
  </si>
  <si>
    <t>VS841</t>
  </si>
  <si>
    <t>VALVE AY</t>
  </si>
  <si>
    <t>SLEEVE</t>
  </si>
  <si>
    <t>MS28775-224</t>
  </si>
  <si>
    <t>MS21045-5</t>
  </si>
  <si>
    <t>NUT W/MFG COC</t>
  </si>
  <si>
    <t>INLET NUT</t>
  </si>
  <si>
    <t>AN6-16</t>
  </si>
  <si>
    <t>AN6-17</t>
  </si>
  <si>
    <t>BOLT W/MFG COC</t>
  </si>
  <si>
    <t>LW31H0.75</t>
  </si>
  <si>
    <t>STD690</t>
  </si>
  <si>
    <t>STD872</t>
  </si>
  <si>
    <t>MS20995C051</t>
  </si>
  <si>
    <t>SEAL CHANNEL</t>
  </si>
  <si>
    <t>MS24586C207</t>
  </si>
  <si>
    <t>M25988/1-928</t>
  </si>
  <si>
    <t>M25988/1-212</t>
  </si>
  <si>
    <t>TIRE-NOSE GEAR</t>
  </si>
  <si>
    <t>TIRE-MAIN GEAR</t>
  </si>
  <si>
    <t>MS35214-46</t>
  </si>
  <si>
    <t>MS35215-58</t>
  </si>
  <si>
    <t>WHOLE MHZ/LEFT SIDE</t>
  </si>
  <si>
    <t>R5WP1A42B</t>
  </si>
  <si>
    <t>LENS CAP: - 0.250 RND WHT TRP/FL SC</t>
  </si>
  <si>
    <t>RGS3179</t>
  </si>
  <si>
    <t>SPACER KNOB 0.625 DIA-GRY705: 0.3</t>
  </si>
  <si>
    <t>RV600-6139-090</t>
  </si>
  <si>
    <t>CLUTCH ASSETTE</t>
  </si>
  <si>
    <t>MOTOR FLAP</t>
  </si>
  <si>
    <t>SET 1/4"DRIVE SOCKT</t>
  </si>
  <si>
    <t>D/HEX SET</t>
  </si>
  <si>
    <t>1/2</t>
  </si>
  <si>
    <t>SERVO-CONTROL</t>
  </si>
  <si>
    <t>RESISTOR:-FILM 1/4 WATT 3,000 OHM</t>
  </si>
  <si>
    <t>BD/ASSY:-MEMORY DAUGHTER</t>
  </si>
  <si>
    <t>SOFTWARE LABEL [FOR MOD F]</t>
  </si>
  <si>
    <t>SOFTWARE LABEL</t>
  </si>
  <si>
    <t>BACR13CF4A</t>
  </si>
  <si>
    <t>PACK</t>
  </si>
  <si>
    <t>BPS7-3</t>
  </si>
  <si>
    <t>BARRERY</t>
  </si>
  <si>
    <t>BP615-A2B2</t>
  </si>
  <si>
    <t>TUBE AY</t>
  </si>
  <si>
    <t>B9845-12</t>
  </si>
  <si>
    <t>B9845-14-1665</t>
  </si>
  <si>
    <t>INSERT,SCREW LKG</t>
  </si>
  <si>
    <t>CHAIN</t>
  </si>
  <si>
    <t>GPS ANTENNA</t>
  </si>
  <si>
    <t>NAS1612-5A</t>
  </si>
  <si>
    <t>ABP002-223</t>
  </si>
  <si>
    <t>ABP004-8</t>
  </si>
  <si>
    <t>MS20995C32</t>
  </si>
  <si>
    <t>LOCKING WIRE 0.032" DIA</t>
  </si>
  <si>
    <t>ABP004-5</t>
  </si>
  <si>
    <t>END TIE</t>
  </si>
  <si>
    <t>NAS1611-018</t>
  </si>
  <si>
    <t>MASK OXY</t>
  </si>
  <si>
    <t>Three-pole thermal breaker</t>
  </si>
  <si>
    <t>MS28782-7</t>
  </si>
  <si>
    <t>NAS1611-112A</t>
  </si>
  <si>
    <t>NAS1612-4A</t>
  </si>
  <si>
    <t>BP260-A1G2</t>
  </si>
  <si>
    <t>MS51957-14</t>
  </si>
  <si>
    <t>MS51957-6</t>
  </si>
  <si>
    <t>MS51957-19</t>
  </si>
  <si>
    <t>MS24693C6</t>
  </si>
  <si>
    <t>MS51957-31</t>
  </si>
  <si>
    <t>MS51957-42</t>
  </si>
  <si>
    <t>MS51957-43</t>
  </si>
  <si>
    <t>MS51957-63</t>
  </si>
  <si>
    <t>KD651510</t>
  </si>
  <si>
    <t>FILTER KIT</t>
  </si>
  <si>
    <t>BRUSH SET</t>
  </si>
  <si>
    <t>RAIL</t>
  </si>
  <si>
    <t>P4-01-0060-120</t>
  </si>
  <si>
    <t>UC2872DW</t>
  </si>
  <si>
    <t>INSERT,LOCKING</t>
  </si>
  <si>
    <t>SPRING NHA CLOCK P/N 2610-07-01</t>
  </si>
  <si>
    <t>DIODE:-SI REF 15.0V 1.0W +/-5%</t>
  </si>
  <si>
    <t>FUSE:- 2 AMP 125V 7/32 X 5/64 PICO</t>
  </si>
  <si>
    <t>THYRIST</t>
  </si>
  <si>
    <t>MICROCKT</t>
  </si>
  <si>
    <t>CABLES</t>
  </si>
  <si>
    <t>R5WP1A43C</t>
  </si>
  <si>
    <t>PUSH SWI</t>
  </si>
  <si>
    <t>A2000091</t>
  </si>
  <si>
    <t>R8C13X7001</t>
  </si>
  <si>
    <t>FLYWHEEL</t>
  </si>
  <si>
    <t>R6DE10A</t>
  </si>
  <si>
    <t>SET SCREW</t>
  </si>
  <si>
    <t>PLGA0930020A</t>
  </si>
  <si>
    <t>PLUG SET</t>
  </si>
  <si>
    <t>MS28774-021</t>
  </si>
  <si>
    <t>MS28775-021</t>
  </si>
  <si>
    <t>BACR12BM223</t>
  </si>
  <si>
    <t>NAS1611-153A</t>
  </si>
  <si>
    <t>NAS1612-18A</t>
  </si>
  <si>
    <t>MS27595-210</t>
  </si>
  <si>
    <t>HL70-8</t>
  </si>
  <si>
    <t>COLLAR,PIN-RIVET</t>
  </si>
  <si>
    <t>P4-01-0033F-110</t>
  </si>
  <si>
    <t>POT:- CERA 10,000 OHMS LIN +/-10%</t>
  </si>
  <si>
    <t>RESISTOR: - CAR/FILM 1/8W 1000 OHM</t>
  </si>
  <si>
    <t>RESISTOR: - CAR/FILM 1/4W 10 OHM 5%</t>
  </si>
  <si>
    <t>TRANSITR: - SI N-FET 500V R=1.5 4.5</t>
  </si>
  <si>
    <t>INTEGRATED</t>
  </si>
  <si>
    <t>TRANSFORMER TRNSFRMR</t>
  </si>
  <si>
    <t>NAS1291C6M</t>
  </si>
  <si>
    <t>NAS600-10</t>
  </si>
  <si>
    <t>NAS6203-28</t>
  </si>
  <si>
    <t>Q4220-431T</t>
  </si>
  <si>
    <t>RING-QUADRING</t>
  </si>
  <si>
    <t>S9412-138</t>
  </si>
  <si>
    <t>S9412-212</t>
  </si>
  <si>
    <t>M83248/1-117</t>
  </si>
  <si>
    <t>M83248/1-108</t>
  </si>
  <si>
    <t>M83248/1-120</t>
  </si>
  <si>
    <t>M83248/1-269</t>
  </si>
  <si>
    <t>M83248/1-911</t>
  </si>
  <si>
    <t>MS28782-5</t>
  </si>
  <si>
    <t>SPRING ASSY</t>
  </si>
  <si>
    <t>G601R323002-1</t>
  </si>
  <si>
    <t>TEST TOOL</t>
  </si>
  <si>
    <t>NAS1581C4T4P</t>
  </si>
  <si>
    <t>NAS1581C5T8P</t>
  </si>
  <si>
    <t>V210D090BC</t>
  </si>
  <si>
    <t>AS3510-02F</t>
  </si>
  <si>
    <t>FERRULE</t>
  </si>
  <si>
    <t>MS22073-1-1/2</t>
  </si>
  <si>
    <t>MS22073-2</t>
  </si>
  <si>
    <t>MS22073-3</t>
  </si>
  <si>
    <t>MS22073-5</t>
  </si>
  <si>
    <t>MS22073-7-1/2</t>
  </si>
  <si>
    <t>MS22073-10</t>
  </si>
  <si>
    <t>MS25361-50</t>
  </si>
  <si>
    <t>MS14154-10</t>
  </si>
  <si>
    <t>MS14153-15</t>
  </si>
  <si>
    <t>MS14153-20</t>
  </si>
  <si>
    <t>MS14153-25</t>
  </si>
  <si>
    <t>BATTER PACK</t>
  </si>
  <si>
    <t>AM2972-1-13</t>
  </si>
  <si>
    <t>FITTING,CLEVIS</t>
  </si>
  <si>
    <t>AM2972-1-6</t>
  </si>
  <si>
    <t>PLUG END,CLEVIS</t>
  </si>
  <si>
    <t>M22520/5-41</t>
  </si>
  <si>
    <t>M22520/5-43</t>
  </si>
  <si>
    <t>DFDAU</t>
  </si>
  <si>
    <t>IND CFQGS</t>
  </si>
  <si>
    <t>IGNITION LEAD</t>
  </si>
  <si>
    <t>METRIC</t>
  </si>
  <si>
    <t>FLAG TFR-TFR</t>
  </si>
  <si>
    <t>ENGINE ACCESSORY UNIT</t>
  </si>
  <si>
    <t>WL102AMS3</t>
  </si>
  <si>
    <t>P10-0090002</t>
  </si>
  <si>
    <t>F/S ANNUNCIATOR</t>
  </si>
  <si>
    <t>COMPUTER-TCAS</t>
  </si>
  <si>
    <t>HYD OIL TR</t>
  </si>
  <si>
    <t>ACC UNIT</t>
  </si>
  <si>
    <t>S30775-333H99</t>
  </si>
  <si>
    <t>NAS1612-11A</t>
  </si>
  <si>
    <t>MS27595-223</t>
  </si>
  <si>
    <t>SWITCH-ROTARY</t>
  </si>
  <si>
    <t>JS99794</t>
  </si>
  <si>
    <t>A1236706</t>
  </si>
  <si>
    <t>A1236628</t>
  </si>
  <si>
    <t>F1406201</t>
  </si>
  <si>
    <t>CASING</t>
  </si>
  <si>
    <t>A2003310</t>
  </si>
  <si>
    <t>BEARING,BALL (VIOLET)</t>
  </si>
  <si>
    <t>RESTRAINT ASSY</t>
  </si>
  <si>
    <t>GLOVE</t>
  </si>
  <si>
    <t>REVEAL</t>
  </si>
  <si>
    <t>BRACKET</t>
  </si>
  <si>
    <t>L18615-5</t>
  </si>
  <si>
    <t>DOME LIGHT</t>
  </si>
  <si>
    <t>P2-07-0003-001</t>
  </si>
  <si>
    <t>FLASH LIGHT</t>
  </si>
  <si>
    <t>MXP210-00</t>
  </si>
  <si>
    <t>EROS GOGGLES,CLEAR SMOKE</t>
  </si>
  <si>
    <t>TFE-R 1/8"(0.25MM)</t>
  </si>
  <si>
    <t>4:1 HEAT SHRINK NATURAL</t>
  </si>
  <si>
    <t>TFE-R 1/4"(0.30MM)</t>
  </si>
  <si>
    <t>TFE-4 1/2</t>
  </si>
  <si>
    <t>IC:-LINEAR LOW PWR DUAL COMPARATO</t>
  </si>
  <si>
    <t>58411A0B5C2F4L5N1(D),P12,12</t>
  </si>
  <si>
    <t>P1212ON</t>
  </si>
  <si>
    <t>MS20426AD4-7</t>
  </si>
  <si>
    <t>MS20426AD5-5</t>
  </si>
  <si>
    <t>MS20426AD4-8</t>
  </si>
  <si>
    <t>MS20426AD2-3</t>
  </si>
  <si>
    <t>RIVET SOLID</t>
  </si>
  <si>
    <t>MS20470AD2-3</t>
  </si>
  <si>
    <t>CMA-7079B-24</t>
  </si>
  <si>
    <t>JANTX2N3440</t>
  </si>
  <si>
    <t>DNM100-126-02</t>
  </si>
  <si>
    <t>MS20426AD2-2-5</t>
  </si>
  <si>
    <t>MS20426AD4-6</t>
  </si>
  <si>
    <t>NAS662C2R4</t>
  </si>
  <si>
    <t>MS16995-54</t>
  </si>
  <si>
    <t>LM137H</t>
  </si>
  <si>
    <t>MICRCRCT</t>
  </si>
  <si>
    <t>SCREEN</t>
  </si>
  <si>
    <t>BATTERY-EMER PWR SUPPLY UNIT</t>
  </si>
  <si>
    <t>LM117K</t>
  </si>
  <si>
    <t>MICROCUIT</t>
  </si>
  <si>
    <t>OPTOCOUPLER</t>
  </si>
  <si>
    <t>MS24665-1012</t>
  </si>
  <si>
    <t>MS28783-1</t>
  </si>
  <si>
    <t>MS28775-217</t>
  </si>
  <si>
    <t>S30071-342</t>
  </si>
  <si>
    <t>MS28782-10</t>
  </si>
  <si>
    <t>MS28775-006</t>
  </si>
  <si>
    <t>R6UC47A</t>
  </si>
  <si>
    <t>S8990-009</t>
  </si>
  <si>
    <t>S8990-007</t>
  </si>
  <si>
    <t>S8990-114</t>
  </si>
  <si>
    <t>FM04AI25V1-4A</t>
  </si>
  <si>
    <t>M81969/17-04</t>
  </si>
  <si>
    <t>M81969/19-08</t>
  </si>
  <si>
    <t>EXTRACT FRONT TOOL</t>
  </si>
  <si>
    <t>OL387BPGPL</t>
  </si>
  <si>
    <t>NAS1612-2A</t>
  </si>
  <si>
    <t>NAS1611-210A</t>
  </si>
  <si>
    <t>PACKING,PERFORMED</t>
  </si>
  <si>
    <t>NAS1611-017A</t>
  </si>
  <si>
    <t>NAS1611-111A</t>
  </si>
  <si>
    <t>NAS1611-214A</t>
  </si>
  <si>
    <t>NAS1611-215A</t>
  </si>
  <si>
    <t>NAS1611-116A</t>
  </si>
  <si>
    <t>M22520/5-19</t>
  </si>
  <si>
    <t>JANTX2N6798</t>
  </si>
  <si>
    <t>BR16-900A1-26V</t>
  </si>
  <si>
    <t>NAS1611-114A</t>
  </si>
  <si>
    <t>NAMEPLAT</t>
  </si>
  <si>
    <t>TUBE RETAINER</t>
  </si>
  <si>
    <t>M83461/1-238</t>
  </si>
  <si>
    <t>MS20426AD3-4</t>
  </si>
  <si>
    <t>MS20426AD4-5</t>
  </si>
  <si>
    <t>MS20470AD4-6</t>
  </si>
  <si>
    <t>MS20470AD4-8</t>
  </si>
  <si>
    <t>AN515-6R8</t>
  </si>
  <si>
    <t>MS35338-41</t>
  </si>
  <si>
    <t>MS35206-230</t>
  </si>
  <si>
    <t>SCREW,6-32UNC PAN HD X .500LG</t>
  </si>
  <si>
    <t>MS20426A3-3</t>
  </si>
  <si>
    <t>K1000-08</t>
  </si>
  <si>
    <t>NUT,8-32UNC DOUBLE ANCHOR</t>
  </si>
  <si>
    <t>NAS1190-3T30B</t>
  </si>
  <si>
    <t>NAS1189-04T6B</t>
  </si>
  <si>
    <t>AG4VCR12</t>
  </si>
  <si>
    <t>P21610</t>
  </si>
  <si>
    <t>BEARING ASSEMBLY</t>
  </si>
  <si>
    <t>MS21047L08</t>
  </si>
  <si>
    <t>MXP201</t>
  </si>
  <si>
    <t>GOGGLES</t>
  </si>
  <si>
    <t>FRF6-16S1PW</t>
  </si>
  <si>
    <t>ABS1040-40</t>
  </si>
  <si>
    <t>ABS1040-56</t>
  </si>
  <si>
    <t>ABS1040-72</t>
  </si>
  <si>
    <t>M25988/1-156</t>
  </si>
  <si>
    <t>MS21902-12</t>
  </si>
  <si>
    <t>MS9556-08</t>
  </si>
  <si>
    <t>NSA5474-3K7</t>
  </si>
  <si>
    <t>HTE717V</t>
  </si>
  <si>
    <t>S33865-18H10</t>
  </si>
  <si>
    <t>MS9245-29</t>
  </si>
  <si>
    <t>LIMIT SWITCH</t>
  </si>
  <si>
    <t>POWER SUPPLY [6 CELLS]</t>
  </si>
  <si>
    <t>M83248/1-210</t>
  </si>
  <si>
    <t>FILTER PC</t>
  </si>
  <si>
    <t>AS3209-126</t>
  </si>
  <si>
    <t>AS3209-014</t>
  </si>
  <si>
    <t>PREFORMED PACKING</t>
  </si>
  <si>
    <t>T330C156M025AS</t>
  </si>
  <si>
    <t>S33121-332-1</t>
  </si>
  <si>
    <t>JANTX2N6351</t>
  </si>
  <si>
    <t>FA433</t>
  </si>
  <si>
    <t>FA602</t>
  </si>
  <si>
    <t>CAP-CERA:-4700.0 pF +/-10% 200V R</t>
  </si>
  <si>
    <t>FUSE:-1 AMP 125V 7/32 X 5/64</t>
  </si>
  <si>
    <t>TAPE REEL</t>
  </si>
  <si>
    <t>NAS1611-152A</t>
  </si>
  <si>
    <t>NAS1611-142A</t>
  </si>
  <si>
    <t>NAS1611-131A</t>
  </si>
  <si>
    <t>NAS1611-021A</t>
  </si>
  <si>
    <t>NAS1611-464A</t>
  </si>
  <si>
    <t>NAS1611-328A</t>
  </si>
  <si>
    <t>NAS1611-226A</t>
  </si>
  <si>
    <t>NAS1611-325A</t>
  </si>
  <si>
    <t>MS172275</t>
  </si>
  <si>
    <t>BACP18BC02A06P</t>
  </si>
  <si>
    <t>SEAL PLATE</t>
  </si>
  <si>
    <t>AN4C13</t>
  </si>
  <si>
    <t>REEL &amp; TAPE ASSY</t>
  </si>
  <si>
    <t>LC-R121R3PU</t>
  </si>
  <si>
    <t>ALTERNATOR EXCITATION BATTERIES</t>
  </si>
  <si>
    <t>M39019-01-212</t>
  </si>
  <si>
    <t>CRYSTAL:-OSCILLATOR CERA 16.0MHZ</t>
  </si>
  <si>
    <t>JANTX2N3019S</t>
  </si>
  <si>
    <t>DIODE NHA CRTL PNL</t>
  </si>
  <si>
    <t>CONE AND SEAL</t>
  </si>
  <si>
    <t>R2IAN5421N</t>
  </si>
  <si>
    <t>CLIP-ON AIR CHUCK</t>
  </si>
  <si>
    <t>CHUCK AIR</t>
  </si>
  <si>
    <t>VS832</t>
  </si>
  <si>
    <t>GLX-3</t>
  </si>
  <si>
    <t>SCREW SET</t>
  </si>
  <si>
    <t>DSR3978/3005</t>
  </si>
  <si>
    <t>DSR3978/3006</t>
  </si>
  <si>
    <t>DSR3978/3008</t>
  </si>
  <si>
    <t>DSR3978/3009</t>
  </si>
  <si>
    <t>PCB ASSY</t>
  </si>
  <si>
    <t>AHO90005/1</t>
  </si>
  <si>
    <t>AHO90005/2</t>
  </si>
  <si>
    <t>JRT182</t>
  </si>
  <si>
    <t>MICRO SWITCH</t>
  </si>
  <si>
    <t>VENTS,BLUE,FRANCE</t>
  </si>
  <si>
    <t>WASHER,FLAT,SAFT FRANCE</t>
  </si>
  <si>
    <t>O-RING,SAFT FRANCE</t>
  </si>
  <si>
    <t>WASHER,SPRING,SAFT FRANCE</t>
  </si>
  <si>
    <t>SCREW,SAFT FRANCE</t>
  </si>
  <si>
    <t>LINK,2758</t>
  </si>
  <si>
    <t>LINK TERMINAL</t>
  </si>
  <si>
    <t>LINK,INTERCELL E33</t>
  </si>
  <si>
    <t>LINK,INTERCELL E36</t>
  </si>
  <si>
    <t>VDGS0200</t>
  </si>
  <si>
    <t>VDGS0191</t>
  </si>
  <si>
    <t>CAM</t>
  </si>
  <si>
    <t>HIGNS</t>
  </si>
  <si>
    <t>A3026</t>
  </si>
  <si>
    <t>BLOCK UNIT</t>
  </si>
  <si>
    <t>MS28775-387</t>
  </si>
  <si>
    <t>BNN1326Y</t>
  </si>
  <si>
    <t>BACKPLATE ASSY</t>
  </si>
  <si>
    <t>AH13A</t>
  </si>
  <si>
    <t>TAPER PIN</t>
  </si>
  <si>
    <t>BAV21</t>
  </si>
  <si>
    <t>SMCNDCTR</t>
  </si>
  <si>
    <t>T3-11231</t>
  </si>
  <si>
    <t>R5BNT1-2R5A</t>
  </si>
  <si>
    <t>FUSE, MICRO(2.5A)</t>
  </si>
  <si>
    <t>R6HR1451ZA</t>
  </si>
  <si>
    <t>R7WMA3C08CZ</t>
  </si>
  <si>
    <t>B3-11132</t>
  </si>
  <si>
    <t>ACTUATOR CLASS</t>
  </si>
  <si>
    <t>JV28-1-4122</t>
  </si>
  <si>
    <t>RETAINING RING</t>
  </si>
  <si>
    <t>J1221G06</t>
  </si>
  <si>
    <t>R8K1AX6586E1</t>
  </si>
  <si>
    <t>FRONT CABINET</t>
  </si>
  <si>
    <t>R6KF321ZA</t>
  </si>
  <si>
    <t>IGNITION LEAD PARTS KIT</t>
  </si>
  <si>
    <t>SHTM</t>
  </si>
  <si>
    <t>SG1524J</t>
  </si>
  <si>
    <t>R8K4V7052A</t>
  </si>
  <si>
    <t>PANEL ASSY,LCD</t>
  </si>
  <si>
    <t>TRANSFORMER,PULSE</t>
  </si>
  <si>
    <t>JAD9F007</t>
  </si>
  <si>
    <t>ADJUST KNOB</t>
  </si>
  <si>
    <t>H-5265</t>
  </si>
  <si>
    <t>CLIP ON AIR CHUCK</t>
  </si>
  <si>
    <t>MIL-T-43435B TY 2 SIZE 5 FIN C</t>
  </si>
  <si>
    <t>AERATOR ASSY</t>
  </si>
  <si>
    <t>UPPER RING</t>
  </si>
  <si>
    <t>SEAL U CLIP</t>
  </si>
  <si>
    <t>VEG0853</t>
  </si>
  <si>
    <t>M39006-22-0554</t>
  </si>
  <si>
    <t>CONTACT,#20</t>
  </si>
  <si>
    <t>LABEL</t>
  </si>
  <si>
    <t>NOMEXTM INSULATION PAD</t>
  </si>
  <si>
    <t>NAS679A08W</t>
  </si>
  <si>
    <t>SLIPPER SEAL</t>
  </si>
  <si>
    <t>DISC SPRING</t>
  </si>
  <si>
    <t>HELICAL SPRING</t>
  </si>
  <si>
    <t>FASTENER</t>
  </si>
  <si>
    <t>BRACKET AY</t>
  </si>
  <si>
    <t>FILTER ASSY-FUEL STRAINER</t>
  </si>
  <si>
    <t>GASKT</t>
  </si>
  <si>
    <t>C/B</t>
  </si>
  <si>
    <t>THERMOCPL</t>
  </si>
  <si>
    <t>ALTERNATOR</t>
  </si>
  <si>
    <t>EXH CLAMP KIT</t>
  </si>
  <si>
    <t>A1638-2</t>
  </si>
  <si>
    <t>AC2101</t>
  </si>
  <si>
    <t>ACU</t>
  </si>
  <si>
    <t>AN23-10</t>
  </si>
  <si>
    <t>AN310-3</t>
  </si>
  <si>
    <t>AN310-4</t>
  </si>
  <si>
    <t>AN310-5</t>
  </si>
  <si>
    <t>AN500-416-10</t>
  </si>
  <si>
    <t>AN525-10R8</t>
  </si>
  <si>
    <t>AN6-27A</t>
  </si>
  <si>
    <t>AN924-8</t>
  </si>
  <si>
    <t>AN970-3</t>
  </si>
  <si>
    <t>CH48110-1</t>
  </si>
  <si>
    <t>FILTER ASSY OIL</t>
  </si>
  <si>
    <t>CM3558-10-8B</t>
  </si>
  <si>
    <t>CM3589-5</t>
  </si>
  <si>
    <t>F53-0003</t>
  </si>
  <si>
    <t>LM350K</t>
  </si>
  <si>
    <t>REG/RESIT/RADI</t>
  </si>
  <si>
    <t>LW-12681</t>
  </si>
  <si>
    <t>LW-19296</t>
  </si>
  <si>
    <t>LW-31-1.16</t>
  </si>
  <si>
    <t>M83248/1-011</t>
  </si>
  <si>
    <t>M83248/1-111</t>
  </si>
  <si>
    <t>SEAL O RING</t>
  </si>
  <si>
    <t>M83248/1-138</t>
  </si>
  <si>
    <t>PACKING,PREFOR</t>
  </si>
  <si>
    <t>MS20822-8</t>
  </si>
  <si>
    <t>ELBOW</t>
  </si>
  <si>
    <t>MS20823-8</t>
  </si>
  <si>
    <t>MS21025-24</t>
  </si>
  <si>
    <t>MS21042L3</t>
  </si>
  <si>
    <t>MS21044N3</t>
  </si>
  <si>
    <t>MS21044N8</t>
  </si>
  <si>
    <t>NUT SELF &amp; LOCKIN</t>
  </si>
  <si>
    <t>MS21045L6</t>
  </si>
  <si>
    <t>MS21045L7</t>
  </si>
  <si>
    <t>MS28775-329</t>
  </si>
  <si>
    <t>MS28778-3</t>
  </si>
  <si>
    <t>MS3367-1-9</t>
  </si>
  <si>
    <t>TIE STRA</t>
  </si>
  <si>
    <t>MS3367-2-9</t>
  </si>
  <si>
    <t>NYLON TIE STRAP</t>
  </si>
  <si>
    <t>MS35333-39</t>
  </si>
  <si>
    <t>NAS463W416</t>
  </si>
  <si>
    <t>SHIM-ANCHOR NUT</t>
  </si>
  <si>
    <t>NAS464P7LA44</t>
  </si>
  <si>
    <t>S1021Z8-8</t>
  </si>
  <si>
    <t>S1021Z8-12</t>
  </si>
  <si>
    <t>(100)SCREW</t>
  </si>
  <si>
    <t>S1360-10L</t>
  </si>
  <si>
    <t>S1360-15L</t>
  </si>
  <si>
    <t>S3377-1-1</t>
  </si>
  <si>
    <t>MASTER SW</t>
  </si>
  <si>
    <t>S3443-1-1</t>
  </si>
  <si>
    <t>S3461-108</t>
  </si>
  <si>
    <t>BOLT MPI</t>
  </si>
  <si>
    <t>S3461-116</t>
  </si>
  <si>
    <t>S3461-117</t>
  </si>
  <si>
    <t>S3484-6-12G1</t>
  </si>
  <si>
    <t>PITOT AY HEAT</t>
  </si>
  <si>
    <t>FAN COOL AVIO</t>
  </si>
  <si>
    <t>LEFT-HAND-MAGNETO</t>
  </si>
  <si>
    <t>CIRCUIT BOARD</t>
  </si>
  <si>
    <t>C292501-0109</t>
  </si>
  <si>
    <t>KIT SWITCH</t>
  </si>
  <si>
    <t>C301002-0110</t>
  </si>
  <si>
    <t>ACTUATOR FLP</t>
  </si>
  <si>
    <t>P198281</t>
  </si>
  <si>
    <t>AIR FILTER</t>
  </si>
  <si>
    <t>PLUG CONDUCTIVE</t>
  </si>
  <si>
    <t>SUPPLY PWR</t>
  </si>
  <si>
    <t>RING GREASE SEAL</t>
  </si>
  <si>
    <t>A2513-92</t>
  </si>
  <si>
    <t>PROP BOLT</t>
  </si>
  <si>
    <t>AN23-11</t>
  </si>
  <si>
    <t>AN23-17</t>
  </si>
  <si>
    <t>AN3-10</t>
  </si>
  <si>
    <t>AN3-10A</t>
  </si>
  <si>
    <t>AN3-11A</t>
  </si>
  <si>
    <t>BOLT,HEX HD 10-32 X 1.156LG</t>
  </si>
  <si>
    <t>AN315-3R</t>
  </si>
  <si>
    <t>AN320-3</t>
  </si>
  <si>
    <t>AN3-3A</t>
  </si>
  <si>
    <t>AN3-40A</t>
  </si>
  <si>
    <t>BOLT 172</t>
  </si>
  <si>
    <t>AN3-4A</t>
  </si>
  <si>
    <t>BOLT HEX HD 10-32UNF X 0.531 LG</t>
  </si>
  <si>
    <t>AN3-5A</t>
  </si>
  <si>
    <t>BOLT,HEX HD 10-32 X 0.656 LG</t>
  </si>
  <si>
    <t>AN3-6</t>
  </si>
  <si>
    <t>AN4-11A</t>
  </si>
  <si>
    <t>AN4-14A</t>
  </si>
  <si>
    <t>AN4-36A</t>
  </si>
  <si>
    <t>AN503-10-8</t>
  </si>
  <si>
    <t>AN525-10R6</t>
  </si>
  <si>
    <t>AN525-10R7</t>
  </si>
  <si>
    <t>AN525-832R6</t>
  </si>
  <si>
    <t>AN525-832R8</t>
  </si>
  <si>
    <t>AN5-47</t>
  </si>
  <si>
    <t>AN6-23A</t>
  </si>
  <si>
    <t>AN7-42A</t>
  </si>
  <si>
    <t>B3-5-1</t>
  </si>
  <si>
    <t>MS17825-3</t>
  </si>
  <si>
    <t>MS20074-04-06</t>
  </si>
  <si>
    <t>MS21042L4</t>
  </si>
  <si>
    <t>STIFFNUT</t>
  </si>
  <si>
    <t>MS21042L5</t>
  </si>
  <si>
    <t>NUT HEX HD</t>
  </si>
  <si>
    <t>MS21044N08</t>
  </si>
  <si>
    <t>MS21044N10</t>
  </si>
  <si>
    <t>MS21045L3</t>
  </si>
  <si>
    <t>MS24665-136</t>
  </si>
  <si>
    <t>PIN,COTTER</t>
  </si>
  <si>
    <t>MS35206-241</t>
  </si>
  <si>
    <t>SCREW,8-32UNC PAN HD X .250L</t>
  </si>
  <si>
    <t>MS35206-243</t>
  </si>
  <si>
    <t>MS35206-245</t>
  </si>
  <si>
    <t>SCREW,8-32UNC PAN HD X.500LG</t>
  </si>
  <si>
    <t>MS35207-263</t>
  </si>
  <si>
    <t>MS35207-264</t>
  </si>
  <si>
    <t>MS35333-40</t>
  </si>
  <si>
    <t>WAHSER-LOCK</t>
  </si>
  <si>
    <t>MS35649-265B</t>
  </si>
  <si>
    <t>NAS1149F0432P</t>
  </si>
  <si>
    <t>WASHER-FLAT</t>
  </si>
  <si>
    <t>S1021Z6-8</t>
  </si>
  <si>
    <t>BEACON BULB</t>
  </si>
  <si>
    <t>AN924-3</t>
  </si>
  <si>
    <t>LW-16266-10-13</t>
  </si>
  <si>
    <t>LW-16266-10-75</t>
  </si>
  <si>
    <t>LW-16266-25-50</t>
  </si>
  <si>
    <t>LW-18265</t>
  </si>
  <si>
    <t>FUEL NOZZLE</t>
  </si>
  <si>
    <t>LW-25-1.25</t>
  </si>
  <si>
    <t>LW-31H0.88</t>
  </si>
  <si>
    <t>STD-1774</t>
  </si>
  <si>
    <t>STD-1856</t>
  </si>
  <si>
    <t>LW12272</t>
  </si>
  <si>
    <t>PACKING,PREFORMED</t>
  </si>
  <si>
    <t>PIPE-INTAKE</t>
  </si>
  <si>
    <t>VALVE INTAKE</t>
  </si>
  <si>
    <t>ROD ASSY</t>
  </si>
  <si>
    <t>ROD</t>
  </si>
  <si>
    <t>LW13792</t>
  </si>
  <si>
    <t>VSS0135</t>
  </si>
  <si>
    <t>MODE SELECT SWITCH</t>
  </si>
  <si>
    <t>R6XSNBP16UWK</t>
  </si>
  <si>
    <t>R6XUC25FJ</t>
  </si>
  <si>
    <t>ERING</t>
  </si>
  <si>
    <t>VHP230KA-3</t>
  </si>
  <si>
    <t>CELL</t>
  </si>
  <si>
    <t>COAX CABLE/WIRE</t>
  </si>
  <si>
    <t>KD59-125</t>
  </si>
  <si>
    <t>ASSY/LCD ATC L/R - ATC L/R/A40800 B</t>
  </si>
  <si>
    <t>KIT LCD UNIVERSAL INS</t>
  </si>
  <si>
    <t>MS21250H06012</t>
  </si>
  <si>
    <t>MS21206C6</t>
  </si>
  <si>
    <t>LIGHT-AY</t>
  </si>
  <si>
    <t>A123K12KZQ</t>
  </si>
  <si>
    <t>TOGGLE SWITCH</t>
  </si>
  <si>
    <t>PIN,GOLD PLATED</t>
  </si>
  <si>
    <t>NAS514P832-5P</t>
  </si>
  <si>
    <t>BACB30NN3K6</t>
  </si>
  <si>
    <t>NAS6604-9</t>
  </si>
  <si>
    <t>NAS1802-3-8</t>
  </si>
  <si>
    <t>NAS1611-242A</t>
  </si>
  <si>
    <t>MS28782-16</t>
  </si>
  <si>
    <t>NAS1611-228A</t>
  </si>
  <si>
    <t>NAS6604H8</t>
  </si>
  <si>
    <t>D436-36</t>
  </si>
  <si>
    <t>CRIMP</t>
  </si>
  <si>
    <t>MS24665-153</t>
  </si>
  <si>
    <t>BACP11K4</t>
  </si>
  <si>
    <t>FILTER INSERT</t>
  </si>
  <si>
    <t>CABLE AY</t>
  </si>
  <si>
    <t>BACB30LU3-3</t>
  </si>
  <si>
    <t>BACW10UB10</t>
  </si>
  <si>
    <t>A4174-24-1</t>
  </si>
  <si>
    <t>BACT12AR224</t>
  </si>
  <si>
    <t>BACB30LU3-6</t>
  </si>
  <si>
    <t>H3-1324-1</t>
  </si>
  <si>
    <t>FORK</t>
  </si>
  <si>
    <t>BACS21DX1</t>
  </si>
  <si>
    <t>LM139AJ</t>
  </si>
  <si>
    <t>H341AD13</t>
  </si>
  <si>
    <t>TRJ781-03</t>
  </si>
  <si>
    <t>VALVE ASSY</t>
  </si>
  <si>
    <t>VKF1539</t>
  </si>
  <si>
    <t>VDGS0137</t>
  </si>
  <si>
    <t>MAIN CAM@GEAR</t>
  </si>
  <si>
    <t>VMLS0634</t>
  </si>
  <si>
    <t>ARM</t>
  </si>
  <si>
    <t>VMBS0890</t>
  </si>
  <si>
    <t>VMBS0699</t>
  </si>
  <si>
    <t>MS24693-C27</t>
  </si>
  <si>
    <t>MS51957-18</t>
  </si>
  <si>
    <t>MS51957-13</t>
  </si>
  <si>
    <t>SCREW,4-40UNC PAN HD X .250LG</t>
  </si>
  <si>
    <t>R6GE148ZC</t>
  </si>
  <si>
    <t>CELL BATTERY</t>
  </si>
  <si>
    <t>PCB</t>
  </si>
  <si>
    <t>P4-314212</t>
  </si>
  <si>
    <t>CHOKE</t>
  </si>
  <si>
    <t>CUP BEARING</t>
  </si>
  <si>
    <t>TRC2</t>
  </si>
  <si>
    <t>R3EA1HXS2R2</t>
  </si>
  <si>
    <t>ELECTROLYTIC CAPACITOR</t>
  </si>
  <si>
    <t>83.151.001</t>
  </si>
  <si>
    <t>MS27212-1-8</t>
  </si>
  <si>
    <t>TERMINAL BLOCK</t>
  </si>
  <si>
    <t>MS27212-1-10</t>
  </si>
  <si>
    <t>TERMINAL STRIP</t>
  </si>
  <si>
    <t>MS27212-2-4</t>
  </si>
  <si>
    <t>BLOCK,TERMINAL</t>
  </si>
  <si>
    <t>MS27212-2-10</t>
  </si>
  <si>
    <t>MS27212-5-3</t>
  </si>
  <si>
    <t>SPLIT HEADBAND</t>
  </si>
  <si>
    <t>FDBA50-8-3APNK090A499</t>
  </si>
  <si>
    <t>SEAL,GATE</t>
  </si>
  <si>
    <t>STRAP AY</t>
  </si>
  <si>
    <t>CVH500KA CELL</t>
  </si>
  <si>
    <t>OIL TEMP SENSOR</t>
  </si>
  <si>
    <t>A3410-2</t>
  </si>
  <si>
    <t>AE96787N</t>
  </si>
  <si>
    <t>AS3582-244</t>
  </si>
  <si>
    <t>ASNA2708-01</t>
  </si>
  <si>
    <t>ASHTRAY</t>
  </si>
  <si>
    <t>CA00077A</t>
  </si>
  <si>
    <t>CG0170103352N00</t>
  </si>
  <si>
    <t>CG0752503458N02</t>
  </si>
  <si>
    <t>CM8A103</t>
  </si>
  <si>
    <t>MC74-45</t>
  </si>
  <si>
    <t>MC74-54</t>
  </si>
  <si>
    <t>Q4554</t>
  </si>
  <si>
    <t>BP394-M03</t>
  </si>
  <si>
    <t>CARTRIDGE VALVE A.</t>
  </si>
  <si>
    <t>XC2399CF-20629</t>
  </si>
  <si>
    <t>BEARING CONE</t>
  </si>
  <si>
    <t>XC2638CB-20629</t>
  </si>
  <si>
    <t>GEN (HAZ UN3356 5.1)</t>
  </si>
  <si>
    <t>CREW SEAT BELT</t>
  </si>
  <si>
    <t>AR9030-1D5D492</t>
  </si>
  <si>
    <t>DAS2155-2</t>
  </si>
  <si>
    <t>CABLE ASSY,ICE BREAK</t>
  </si>
  <si>
    <t>DK249</t>
  </si>
  <si>
    <t>NSA937901R1000</t>
  </si>
  <si>
    <t>RAIL L=1M</t>
  </si>
  <si>
    <t>AS116-08-0264</t>
  </si>
  <si>
    <t>D72D70140-111</t>
  </si>
  <si>
    <t>DAMPER</t>
  </si>
  <si>
    <t>D72D70140-211</t>
  </si>
  <si>
    <t>DISPENSR</t>
  </si>
  <si>
    <t>R8K9V980101A</t>
  </si>
  <si>
    <t>R8S7AV7102ZA</t>
  </si>
  <si>
    <t>FAN ASSY</t>
  </si>
  <si>
    <t>MS27212-1-6</t>
  </si>
  <si>
    <t>TERMINAL BOARD</t>
  </si>
  <si>
    <t>A34750</t>
  </si>
  <si>
    <t>MS29513-012</t>
  </si>
  <si>
    <t>MS29513-032</t>
  </si>
  <si>
    <t>R8K6AV980101</t>
  </si>
  <si>
    <t>BACK LIGHT</t>
  </si>
  <si>
    <t>R5AK03A</t>
  </si>
  <si>
    <t>ASSY / LCD 5D</t>
  </si>
  <si>
    <t>R8K2X671101A</t>
  </si>
  <si>
    <t>PANEL ASSY</t>
  </si>
  <si>
    <t>JM5</t>
  </si>
  <si>
    <t>ACTVATOR MICROSWITCH</t>
  </si>
  <si>
    <t>MS3476L8-98PN</t>
  </si>
  <si>
    <t>NP583592</t>
  </si>
  <si>
    <t>CONE BRG</t>
  </si>
  <si>
    <t>NP409278</t>
  </si>
  <si>
    <t>LM718910</t>
  </si>
  <si>
    <t>CUP BRG</t>
  </si>
  <si>
    <t>NAS1801-4-20</t>
  </si>
  <si>
    <t>NAS1801-4-26</t>
  </si>
  <si>
    <t>SCREW,HEX HEAD,CRUCIFORM RECESS,FULL THD</t>
  </si>
  <si>
    <t>BAC29PPS21671</t>
  </si>
  <si>
    <t>DECAL</t>
  </si>
  <si>
    <t>MS24585C241</t>
  </si>
  <si>
    <t>SUPERSEDERXG</t>
  </si>
  <si>
    <t>BATTERY CHARGER</t>
  </si>
  <si>
    <t>020.003.263</t>
  </si>
  <si>
    <t>M77760</t>
  </si>
  <si>
    <t>KYBD,MILITARY,EMERGENCY KEY,USB</t>
  </si>
  <si>
    <t>RETAINER,PACKING</t>
  </si>
  <si>
    <t>AGS2059/419BH</t>
  </si>
  <si>
    <t>DSR3978/55BH</t>
  </si>
  <si>
    <t>H140ADY10</t>
  </si>
  <si>
    <t>three-pole thermal breaker</t>
  </si>
  <si>
    <t>FLUG</t>
  </si>
  <si>
    <t>A75J</t>
  </si>
  <si>
    <t>QA03963</t>
  </si>
  <si>
    <t>BEARING,BALL</t>
  </si>
  <si>
    <t>M39014-01-1333V</t>
  </si>
  <si>
    <t>RNC55J1000BS</t>
  </si>
  <si>
    <t>NAME PLATE</t>
  </si>
  <si>
    <t>MOD PLATE</t>
  </si>
  <si>
    <t>S30071-113</t>
  </si>
  <si>
    <t>RING SET</t>
  </si>
  <si>
    <t>MS25357-1</t>
  </si>
  <si>
    <t>XFMR</t>
  </si>
  <si>
    <t>VMD1375</t>
  </si>
  <si>
    <t>SIDE PLATE</t>
  </si>
  <si>
    <t>VXA3669</t>
  </si>
  <si>
    <t>DIODE:- SI RECT SWITCH Vr=600V If=</t>
  </si>
  <si>
    <t>TRANSFMR:- FLYBACK 60-200VAC +/-5+</t>
  </si>
  <si>
    <t>10' CABLE KIT</t>
  </si>
  <si>
    <t>STATIC DISCHARGER BASE</t>
  </si>
  <si>
    <t>COMPLING HALF</t>
  </si>
  <si>
    <t>BACT12AC14</t>
  </si>
  <si>
    <t>BACT12AC4</t>
  </si>
  <si>
    <t>BACT12AC8</t>
  </si>
  <si>
    <t>NAS1388-5</t>
  </si>
  <si>
    <t>SPLICE</t>
  </si>
  <si>
    <t>ABP002-218</t>
  </si>
  <si>
    <t>BACC18X25</t>
  </si>
  <si>
    <t>BREAKER, CIRCUIT</t>
  </si>
  <si>
    <t>ASSY/LCDTN 6D/A40800A - 6 DIGIT COM</t>
  </si>
  <si>
    <t>A3295-1</t>
  </si>
  <si>
    <t>ROD AY</t>
  </si>
  <si>
    <t>A3295-2</t>
  </si>
  <si>
    <t>SEAL ASSEMBLY</t>
  </si>
  <si>
    <t>AVIATION INDUSTRY SCVA WITH BOTTLE</t>
  </si>
  <si>
    <t>COMPRESSED GAS CYLINDER</t>
  </si>
  <si>
    <t>1"WEB,SNAP HOOK AT ENDS X LFT</t>
  </si>
  <si>
    <t>BACK D-RING,LOOPS FOR BELT,QUICK-CONNECT</t>
  </si>
  <si>
    <t>AVIATION INDUSTRY SCVA SECONDARY PAD</t>
  </si>
  <si>
    <t>SECONDARY HOSE</t>
  </si>
  <si>
    <t>HORIZONTAL LIFELINE SYSTEM</t>
  </si>
  <si>
    <t>FILL STATION TO FILL COMPRESSED GAS CYLI</t>
  </si>
  <si>
    <t>S256W410-6</t>
  </si>
  <si>
    <t>NAS1080C04</t>
  </si>
  <si>
    <t>F18T5CWRS</t>
  </si>
  <si>
    <t>AC115-06K0346</t>
  </si>
  <si>
    <t>LIGHT BASE ASSY</t>
  </si>
  <si>
    <t>MS24585-C330</t>
  </si>
  <si>
    <t>LOCK CATCH</t>
  </si>
  <si>
    <t>M39016/9-062L</t>
  </si>
  <si>
    <t>GM335167</t>
  </si>
  <si>
    <t>KEYPAD</t>
  </si>
  <si>
    <t>P14039A</t>
  </si>
  <si>
    <t>ABS5800D056B</t>
  </si>
  <si>
    <t>NAS1919M04S03</t>
  </si>
  <si>
    <t>LAMP-BASE</t>
  </si>
  <si>
    <t>WL6832FS</t>
  </si>
  <si>
    <t>X6-10</t>
  </si>
  <si>
    <t>CONDENSER</t>
  </si>
  <si>
    <t>R5BNT1-630MA</t>
  </si>
  <si>
    <t>A1207327</t>
  </si>
  <si>
    <t>RESISTOR,VARIABLE</t>
  </si>
  <si>
    <t>BRUSH ASSY</t>
  </si>
  <si>
    <t>BRUSH ELECTRICAL CONTACT</t>
  </si>
  <si>
    <t>FM07A125V2-10A</t>
  </si>
  <si>
    <t>F702</t>
  </si>
  <si>
    <t>ASSY/ENCODER SINGLE-SINGLE</t>
  </si>
  <si>
    <t>KB27108</t>
  </si>
  <si>
    <t>AS43013-149</t>
  </si>
  <si>
    <t>RING,SEALING TOR</t>
  </si>
  <si>
    <t>BACT12AC49</t>
  </si>
  <si>
    <t>WASHER-LOCK</t>
  </si>
  <si>
    <t>ABS0338-01</t>
  </si>
  <si>
    <t>ABS5800D048A</t>
  </si>
  <si>
    <t>ABS5800D096B</t>
  </si>
  <si>
    <t>NSA8203-230</t>
  </si>
  <si>
    <t>A1207367</t>
  </si>
  <si>
    <t>A1207368</t>
  </si>
  <si>
    <t>MS24585C41</t>
  </si>
  <si>
    <t>NAS8702-2</t>
  </si>
  <si>
    <t>MS21342-203</t>
  </si>
  <si>
    <t>SETSREW FP STL 2-56X</t>
  </si>
  <si>
    <t>KNOB 0.375/.546 HIGH - BK; LINED (A</t>
  </si>
  <si>
    <t>M25988/4-154</t>
  </si>
  <si>
    <t>MS16998-42</t>
  </si>
  <si>
    <t>NAS1100-08-8</t>
  </si>
  <si>
    <t>NAS1102-08-4</t>
  </si>
  <si>
    <t>SAM276-1</t>
  </si>
  <si>
    <t>NAS1149CN632R</t>
  </si>
  <si>
    <t>R2I65012A80</t>
  </si>
  <si>
    <t>UDN2987A</t>
  </si>
  <si>
    <t>ECEV1HA220P</t>
  </si>
  <si>
    <t>1937K/1.6A</t>
  </si>
  <si>
    <t>BACC45FT10-20S</t>
  </si>
  <si>
    <t>CONECTOR</t>
  </si>
  <si>
    <t>MS27198-24</t>
  </si>
  <si>
    <t>WING TIP STROBE/POSITION LIGHT,RED,28V</t>
  </si>
  <si>
    <t>WING STROBE/POSITION LIGHT,GREEN,28V,</t>
  </si>
  <si>
    <t>SHELL</t>
  </si>
  <si>
    <t>SHELL FRONTDARKGREY</t>
  </si>
  <si>
    <t>BACR13CJ2E</t>
  </si>
  <si>
    <t>MS24266R18B8SN</t>
  </si>
  <si>
    <t>83.451.001</t>
  </si>
  <si>
    <t>MS19068-002</t>
  </si>
  <si>
    <t>BACR12BM325</t>
  </si>
  <si>
    <t>RING.BACKUP</t>
  </si>
  <si>
    <t>F1274031</t>
  </si>
  <si>
    <t>A1236627</t>
  </si>
  <si>
    <t>H301AB12</t>
  </si>
  <si>
    <t>WEDGE LOCKING</t>
  </si>
  <si>
    <t>BACB30LJ4-8</t>
  </si>
  <si>
    <t>BACB30NN4K8</t>
  </si>
  <si>
    <t>BACC47CP1S</t>
  </si>
  <si>
    <t>BACS12FA3K7</t>
  </si>
  <si>
    <t>GE 314B7170G013</t>
  </si>
  <si>
    <t>FRAME 9E FIRST STAGE BUCKETS</t>
  </si>
  <si>
    <t>FRF6E10SL4S08</t>
  </si>
  <si>
    <t>S33121-215-99</t>
  </si>
  <si>
    <t>NAS620-8</t>
  </si>
  <si>
    <t>WASHER,PLAT</t>
  </si>
  <si>
    <t>S30855-213H5N</t>
  </si>
  <si>
    <t>SEAL-PLUS</t>
  </si>
  <si>
    <t>H4660A</t>
  </si>
  <si>
    <t>LARGE BORE VALVE</t>
  </si>
  <si>
    <t>BJE80</t>
  </si>
  <si>
    <t>JUNCTION</t>
  </si>
  <si>
    <t>ABS5800D032A</t>
  </si>
  <si>
    <t>RETAINER,COVER</t>
  </si>
  <si>
    <t>E0439-01</t>
  </si>
  <si>
    <t>C22502-349-101</t>
  </si>
  <si>
    <t>MIRROR GLASS</t>
  </si>
  <si>
    <t>SRW192L</t>
  </si>
  <si>
    <t>INSERT</t>
  </si>
  <si>
    <t>E0261CF18U</t>
  </si>
  <si>
    <t>CABLE</t>
  </si>
  <si>
    <t>NSA55144-002</t>
  </si>
  <si>
    <t>BKAD1-125-306F0</t>
  </si>
  <si>
    <t>BKAD2-BW234-301F0</t>
  </si>
  <si>
    <t>BKAD1-125-400-F0</t>
  </si>
  <si>
    <t>ASSY CONNECTOR - FRONT CONNECTOR BD</t>
  </si>
  <si>
    <t>HEADSET,CLOSED XLR-5 CONNECTOR</t>
  </si>
  <si>
    <t>M83248/1-128</t>
  </si>
  <si>
    <t>AS22719</t>
  </si>
  <si>
    <t>MS28782-14</t>
  </si>
  <si>
    <t>DPY7900P-10F-A-2</t>
  </si>
  <si>
    <t>BACB30NN3K2</t>
  </si>
  <si>
    <t>CUP LOCKWASHER</t>
  </si>
  <si>
    <t>T-SEAL</t>
  </si>
  <si>
    <t>A1253588</t>
  </si>
  <si>
    <t>PUSH BUTTON,OFF</t>
  </si>
  <si>
    <t>A1253591</t>
  </si>
  <si>
    <t>PUSH BUTTON,SLEW</t>
  </si>
  <si>
    <t>A1236707</t>
  </si>
  <si>
    <t>H140AAB83</t>
  </si>
  <si>
    <t>ERECTOR ASSY</t>
  </si>
  <si>
    <t>SPUR GRAR</t>
  </si>
  <si>
    <t>PENDULUM ARM</t>
  </si>
  <si>
    <t>M39014/01-1317</t>
  </si>
  <si>
    <t>M39014/01-1553</t>
  </si>
  <si>
    <t>QUICK DISCONNECT PLUG</t>
  </si>
  <si>
    <t>E0062A7L4ADOA</t>
  </si>
  <si>
    <t>TRVC9</t>
  </si>
  <si>
    <t>NOSE PIECE</t>
  </si>
  <si>
    <t>NOSE ASSY</t>
  </si>
  <si>
    <t>HMEC460</t>
  </si>
  <si>
    <t>PUSHBUTTON</t>
  </si>
  <si>
    <t>BACC63BV12F12PN</t>
  </si>
  <si>
    <t>PUCHBUTTOM SWITCH</t>
  </si>
  <si>
    <t>4EA US-STK, BAL 10-12 WEEKS</t>
  </si>
  <si>
    <t>PUSHBUTTOM SWITCH</t>
  </si>
  <si>
    <t>AC30-0004</t>
  </si>
  <si>
    <t>START ROTARY SW</t>
  </si>
  <si>
    <t>SSRI-518ZZA0305</t>
  </si>
  <si>
    <t>NAS1611-026</t>
  </si>
  <si>
    <t>R8KZV981801</t>
  </si>
  <si>
    <t>FIXTURE</t>
  </si>
  <si>
    <t>JANTX2N4859</t>
  </si>
  <si>
    <t>DS26LS31MJ/883GS</t>
  </si>
  <si>
    <t>AM26LS33AMJ</t>
  </si>
  <si>
    <t>LM139J</t>
  </si>
  <si>
    <t>LM211H</t>
  </si>
  <si>
    <t>GLASS</t>
  </si>
  <si>
    <t>LAMP 280 VOLT</t>
  </si>
  <si>
    <t>LM156H</t>
  </si>
  <si>
    <t>NAS6605-23</t>
  </si>
  <si>
    <t>CAP STRIP</t>
  </si>
  <si>
    <t>LAMP HEATSINK</t>
  </si>
  <si>
    <t>BACC10KD14</t>
  </si>
  <si>
    <t>T4-0010</t>
  </si>
  <si>
    <t>GS85049/38-19M</t>
  </si>
  <si>
    <t>STRAIN RELIEF</t>
  </si>
  <si>
    <t>LM1558H</t>
  </si>
  <si>
    <t>LM108AH</t>
  </si>
  <si>
    <t>LM124J</t>
  </si>
  <si>
    <t>MCI4584BAL</t>
  </si>
  <si>
    <t>MJE13002</t>
  </si>
  <si>
    <t>MJE172</t>
  </si>
  <si>
    <t>SN54L-S20J</t>
  </si>
  <si>
    <t>CD4076BF</t>
  </si>
  <si>
    <t>BKAD1-125-40023</t>
  </si>
  <si>
    <t>PIC1812R</t>
  </si>
  <si>
    <t>RING,RETAINING</t>
  </si>
  <si>
    <t>PI011212S</t>
  </si>
  <si>
    <t>RJ26FX102</t>
  </si>
  <si>
    <t>POTENTIONMETER</t>
  </si>
  <si>
    <t>PROG PRO</t>
  </si>
  <si>
    <t>NAS1612-10</t>
  </si>
  <si>
    <t>NAS1611-113</t>
  </si>
  <si>
    <t>MS27595-113</t>
  </si>
  <si>
    <t>BACKUP</t>
  </si>
  <si>
    <t>MS27595-017</t>
  </si>
  <si>
    <t>MS27595-008</t>
  </si>
  <si>
    <t>MS27595-019</t>
  </si>
  <si>
    <t>MS27595-016</t>
  </si>
  <si>
    <t>MS27595-006</t>
  </si>
  <si>
    <t>MS16562-219</t>
  </si>
  <si>
    <t>MS27595-011</t>
  </si>
  <si>
    <t>AS3582-009</t>
  </si>
  <si>
    <t>AS3582-113</t>
  </si>
  <si>
    <t>MS27595-020</t>
  </si>
  <si>
    <t>S269-2C3AD</t>
  </si>
  <si>
    <t>S761A1205125036</t>
  </si>
  <si>
    <t>WINSOW DIAL</t>
  </si>
  <si>
    <t>VH575S02</t>
  </si>
  <si>
    <t>RET RING</t>
  </si>
  <si>
    <t>SLW40442-500X</t>
  </si>
  <si>
    <t>STA LOK WASHER</t>
  </si>
  <si>
    <t>MS24665-368</t>
  </si>
  <si>
    <t>NAS1446-08</t>
  </si>
  <si>
    <t>AS568-918NAS1613</t>
  </si>
  <si>
    <t>25K DOT</t>
  </si>
  <si>
    <t>MS90310-211</t>
  </si>
  <si>
    <t>SWITCH TOGGLE</t>
  </si>
  <si>
    <t>SHIELDIN</t>
  </si>
  <si>
    <t>2013-1A CASE,LABEL.HOLDER</t>
  </si>
  <si>
    <t>IGN. PLUG,119MM</t>
  </si>
  <si>
    <t>W20464</t>
  </si>
  <si>
    <t>TT207-110</t>
  </si>
  <si>
    <t>VN0610L</t>
  </si>
  <si>
    <t>BACR13CF2AB</t>
  </si>
  <si>
    <t>PE5760</t>
  </si>
  <si>
    <t>W20161-03</t>
  </si>
  <si>
    <t>K608EL8</t>
  </si>
  <si>
    <t>DIN137A4FSTNR</t>
  </si>
  <si>
    <t>FG4100-0372-1-2</t>
  </si>
  <si>
    <t>AS43003-906</t>
  </si>
  <si>
    <t>KB27161</t>
  </si>
  <si>
    <t>MFFA938</t>
  </si>
  <si>
    <t>FUD FILFER ELEMENT</t>
  </si>
  <si>
    <t>AS43013-118</t>
  </si>
  <si>
    <t>CIRCUIT BREAKER 2A</t>
  </si>
  <si>
    <t>MS16555-640</t>
  </si>
  <si>
    <t>MS16556-802</t>
  </si>
  <si>
    <t>NAS1149C0363B</t>
  </si>
  <si>
    <t>SENSING ELEMENT</t>
  </si>
  <si>
    <t>A23034-2-1S</t>
  </si>
  <si>
    <t>SLAMLTCH</t>
  </si>
  <si>
    <t>HV99-174</t>
  </si>
  <si>
    <t>FAUCET</t>
  </si>
  <si>
    <t>SLS40636M75</t>
  </si>
  <si>
    <t>SP21651C27</t>
  </si>
  <si>
    <t>W20168</t>
  </si>
  <si>
    <t>MS171434</t>
  </si>
  <si>
    <t>PIN SPRING</t>
  </si>
  <si>
    <t>ASSY/LCD</t>
  </si>
  <si>
    <t>MS21042-3</t>
  </si>
  <si>
    <t>NAS1022C10</t>
  </si>
  <si>
    <t>S8157N93-005</t>
  </si>
  <si>
    <t>S8154-126C002</t>
  </si>
  <si>
    <t>JANTX1N4472</t>
  </si>
  <si>
    <t>CD4049UBF3A</t>
  </si>
  <si>
    <t>A1186211</t>
  </si>
  <si>
    <t>TRANSFORMER,AUDIO</t>
  </si>
  <si>
    <t>RE20-13</t>
  </si>
  <si>
    <t>BACS30ES22</t>
  </si>
  <si>
    <t>H150AF36</t>
  </si>
  <si>
    <t>CAPSULE MC1,MIKE</t>
  </si>
  <si>
    <t>A3-1114-01-1</t>
  </si>
  <si>
    <t>LENS CAP ASSY</t>
  </si>
  <si>
    <t>PPTC ASSEMBLY</t>
  </si>
  <si>
    <t>A1252158</t>
  </si>
  <si>
    <t>LED</t>
  </si>
  <si>
    <t>A1252360</t>
  </si>
  <si>
    <t>A2003378</t>
  </si>
  <si>
    <t>A1252155</t>
  </si>
  <si>
    <t>21.415.130</t>
  </si>
  <si>
    <t>MOUNTING SCREW</t>
  </si>
  <si>
    <t>REFLECTOR</t>
  </si>
  <si>
    <t>H-4660A</t>
  </si>
  <si>
    <t>CELL ASSY</t>
  </si>
  <si>
    <t>VHP450KA-1</t>
  </si>
  <si>
    <t>CELL VHP450KA-1</t>
  </si>
  <si>
    <t>R2T2SC5103QX</t>
  </si>
  <si>
    <t>R3QV1H473JZ</t>
  </si>
  <si>
    <t>PLASTIC FILM CAPACITOR</t>
  </si>
  <si>
    <t>WASHER TERMINAL</t>
  </si>
  <si>
    <t>NUT TERMINAL</t>
  </si>
  <si>
    <t>H44642</t>
  </si>
  <si>
    <t>A35175</t>
  </si>
  <si>
    <t>TORQUE BUTTON</t>
  </si>
  <si>
    <t>FAUCET ASSY. S/L</t>
  </si>
  <si>
    <t>AR9592-7</t>
  </si>
  <si>
    <t>DRAIN VALVE</t>
  </si>
  <si>
    <t>S906-10155-6260</t>
  </si>
  <si>
    <t>MS3120E10-6P</t>
  </si>
  <si>
    <t>ADAPTER-STATIC PORT</t>
  </si>
  <si>
    <t>OXYGEN MASK</t>
  </si>
  <si>
    <t>MS9390-160</t>
  </si>
  <si>
    <t>F15T12WW</t>
  </si>
  <si>
    <t>MS27719-23-1</t>
  </si>
  <si>
    <t>SPARE PARTS</t>
  </si>
  <si>
    <t>INDICATOR LIGHT</t>
  </si>
  <si>
    <t>RETAINER AND BEARING ASSY</t>
  </si>
  <si>
    <t>H44-AA-10</t>
  </si>
  <si>
    <t>MOUNT</t>
  </si>
  <si>
    <t>MS27595-121</t>
  </si>
  <si>
    <t>ED101208</t>
  </si>
  <si>
    <t>ATTENUAT</t>
  </si>
  <si>
    <t>AC7031F8</t>
  </si>
  <si>
    <t>HYDRAULIC FILTER</t>
  </si>
  <si>
    <t>AS3582-246</t>
  </si>
  <si>
    <t>S9028G904</t>
  </si>
  <si>
    <t>S9412-558</t>
  </si>
  <si>
    <t>NAS8603-6</t>
  </si>
  <si>
    <t>BOLT WING LEADING EDGE</t>
  </si>
  <si>
    <t>MS27039-0820</t>
  </si>
  <si>
    <t>NAS1992-5T</t>
  </si>
  <si>
    <t>NAS1992-6T</t>
  </si>
  <si>
    <t>AE0607F01</t>
  </si>
  <si>
    <t>D436-58</t>
  </si>
  <si>
    <t>D436-37</t>
  </si>
  <si>
    <t>IN-LINE SPLICE</t>
  </si>
  <si>
    <t>CLAPPER</t>
  </si>
  <si>
    <t>SEAT,VALVE</t>
  </si>
  <si>
    <t>STICK</t>
  </si>
  <si>
    <t>S4165</t>
  </si>
  <si>
    <t>SEALS</t>
  </si>
  <si>
    <t>S602-10X1</t>
  </si>
  <si>
    <t>STOP</t>
  </si>
  <si>
    <t>S761A0052008226</t>
  </si>
  <si>
    <t>S602-36X1-5</t>
  </si>
  <si>
    <t>W301</t>
  </si>
  <si>
    <t>BACC63BP20A16SNL</t>
  </si>
  <si>
    <t>LENS ASSY</t>
  </si>
  <si>
    <t>M39016-20-054L</t>
  </si>
  <si>
    <t>M28776-1-016L</t>
  </si>
  <si>
    <t>REPLY</t>
  </si>
  <si>
    <t>ERASE COIL ASSY</t>
  </si>
  <si>
    <t>RETAINING RING 5101-18</t>
  </si>
  <si>
    <t>NAS1149C0863R</t>
  </si>
  <si>
    <t>MS20427M6-22</t>
  </si>
  <si>
    <t>BACS12GP3L15</t>
  </si>
  <si>
    <t>F20T12WW</t>
  </si>
  <si>
    <t>FLUORESCENT TUBE</t>
  </si>
  <si>
    <t>RG-128-3</t>
  </si>
  <si>
    <t>RG-380E/44K</t>
  </si>
  <si>
    <t>SWITCH GUARD</t>
  </si>
  <si>
    <t>A225400454-204</t>
  </si>
  <si>
    <t>FLEECE</t>
  </si>
  <si>
    <t>GYR5A48</t>
  </si>
  <si>
    <t>MASTER MODULE</t>
  </si>
  <si>
    <t>EM/RL8RSP3-D</t>
  </si>
  <si>
    <t>END BEARING</t>
  </si>
  <si>
    <t>A3-209-01A</t>
  </si>
  <si>
    <t>HEAABAND ASSY</t>
  </si>
  <si>
    <t>CVH531KA</t>
  </si>
  <si>
    <t>STEM,VALVE PNEUMATIC TIRE</t>
  </si>
  <si>
    <t>PAPER OUT SWITCH ASSY</t>
  </si>
  <si>
    <t>M224713A-20629</t>
  </si>
  <si>
    <t>BACB30NN3K3</t>
  </si>
  <si>
    <t>BACR15DR3-5</t>
  </si>
  <si>
    <t>BACR15DR3-7</t>
  </si>
  <si>
    <t>BACR15DR3-11</t>
  </si>
  <si>
    <t>L225810-20629</t>
  </si>
  <si>
    <t>S9027G267</t>
  </si>
  <si>
    <t>BACB10BA25PP</t>
  </si>
  <si>
    <t>RING,DAMPING</t>
  </si>
  <si>
    <t>P800073</t>
  </si>
  <si>
    <t>S107585</t>
  </si>
  <si>
    <t>Q4631</t>
  </si>
  <si>
    <t>INNER KNOB</t>
  </si>
  <si>
    <t>AN960C416L</t>
  </si>
  <si>
    <t>NAS1149C1063R</t>
  </si>
  <si>
    <t>M83536-11-001L</t>
  </si>
  <si>
    <t>BACS22C6</t>
  </si>
  <si>
    <t>STRIP</t>
  </si>
  <si>
    <t>GROMMET(448)</t>
  </si>
  <si>
    <t>NAS1611-112</t>
  </si>
  <si>
    <t>DPXB67-34P-0101</t>
  </si>
  <si>
    <t>DPXB67-33S-0001</t>
  </si>
  <si>
    <t>S33121-219-5</t>
  </si>
  <si>
    <t>VENTED-VALVE CARTRIDGE ASSY</t>
  </si>
  <si>
    <t>VALVE,DRAIN</t>
  </si>
  <si>
    <t>A1251588</t>
  </si>
  <si>
    <t>CAPACITR</t>
  </si>
  <si>
    <t>DOOR SEAL</t>
  </si>
  <si>
    <t>CAPSULE</t>
  </si>
  <si>
    <t>VS24-3</t>
  </si>
  <si>
    <t>R8K6V984301A</t>
  </si>
  <si>
    <t>LINK ASSY</t>
  </si>
  <si>
    <t>R8KKV984301</t>
  </si>
  <si>
    <t>ASSY,EXIT INDICATOR</t>
  </si>
  <si>
    <t>LIMITED SWITCH</t>
  </si>
  <si>
    <t>ACT ARM OFFSET FOR LIMITS</t>
  </si>
  <si>
    <t>M83485-1-904</t>
  </si>
  <si>
    <t>HL1087-6</t>
  </si>
  <si>
    <t>DPXBMA-32C4-34P-0005</t>
  </si>
  <si>
    <t>DPXBMA-D32C4-33S-0005</t>
  </si>
  <si>
    <t>BNN1328BW</t>
  </si>
  <si>
    <t>DIAPHRAGM ASSY</t>
  </si>
  <si>
    <t>LAP AND SHOULDER STR</t>
  </si>
  <si>
    <t>HYDRAULIC TIMER</t>
  </si>
  <si>
    <t>BATTERY,LITHIUM (HAZ)</t>
  </si>
  <si>
    <t>PBE</t>
  </si>
  <si>
    <t>AN3-7A</t>
  </si>
  <si>
    <t>BOLT,MACHINE</t>
  </si>
  <si>
    <t>AN3-12A</t>
  </si>
  <si>
    <t>BALANCE WEIGHT (A320)</t>
  </si>
  <si>
    <t>WEIGHT BALANCE(B737)(A340-500)</t>
  </si>
  <si>
    <t>CONE BEARING</t>
  </si>
  <si>
    <t>MS91528-1K2B</t>
  </si>
  <si>
    <t>PROTECTION</t>
  </si>
  <si>
    <t>PLATE ASSY</t>
  </si>
  <si>
    <t>GPS RACK</t>
  </si>
  <si>
    <t>PACKING-PREFORMED</t>
  </si>
  <si>
    <t>A35171</t>
  </si>
  <si>
    <t>AJUST TUBE</t>
  </si>
  <si>
    <t>A35299</t>
  </si>
  <si>
    <t>FN12M02</t>
  </si>
  <si>
    <t>A35210</t>
  </si>
  <si>
    <t>A35226</t>
  </si>
  <si>
    <t>VN465A108</t>
  </si>
  <si>
    <t>MOTOR &amp; PUMP ASSY</t>
  </si>
  <si>
    <t>RG-380E/60L</t>
  </si>
  <si>
    <t>48 AH BATTERY</t>
  </si>
  <si>
    <t>DISCHARGER,STATIC</t>
  </si>
  <si>
    <t>A35403</t>
  </si>
  <si>
    <t>LINER</t>
  </si>
  <si>
    <t>A35221</t>
  </si>
  <si>
    <t>ADJUSTER TUBES</t>
  </si>
  <si>
    <t>WEAR INDICATOR PINS</t>
  </si>
  <si>
    <t>BACK-UP RING</t>
  </si>
  <si>
    <t>SCRAPER RING ASSEMBLY</t>
  </si>
  <si>
    <t>ABP002-010</t>
  </si>
  <si>
    <t>CHARGER,SUPERSEDER 11A-V</t>
  </si>
  <si>
    <t>VENT VALVE WRENCH</t>
  </si>
  <si>
    <t>SYRINGE ASSY 20MM</t>
  </si>
  <si>
    <t>RESISTOR CLIPS</t>
  </si>
  <si>
    <t>CELL PULLER</t>
  </si>
  <si>
    <t>BTAS16 BASIC PACKAGE</t>
  </si>
  <si>
    <t>NAS1611-220</t>
  </si>
  <si>
    <t>S9028L908</t>
  </si>
  <si>
    <t>BALL</t>
  </si>
  <si>
    <t>A60701-1280</t>
  </si>
  <si>
    <t>RING,BACKUP</t>
  </si>
  <si>
    <t>RING-RETAINING</t>
  </si>
  <si>
    <t>A35219</t>
  </si>
  <si>
    <t>A35211</t>
  </si>
  <si>
    <t>MS24391-5L</t>
  </si>
  <si>
    <t>FITTING,PLUG</t>
  </si>
  <si>
    <t>AS5169-05</t>
  </si>
  <si>
    <t>A33539</t>
  </si>
  <si>
    <t>A35994</t>
  </si>
  <si>
    <t>TORQUE</t>
  </si>
  <si>
    <t>AS3208-04</t>
  </si>
  <si>
    <t>M24308/2-3F</t>
  </si>
  <si>
    <t>AS568A280</t>
  </si>
  <si>
    <t>TRVC5</t>
  </si>
  <si>
    <t>CAP VALVE</t>
  </si>
  <si>
    <t>TR756-02</t>
  </si>
  <si>
    <t>STEM VALVE</t>
  </si>
  <si>
    <t>HL10000-102</t>
  </si>
  <si>
    <t>HYDROLOC</t>
  </si>
  <si>
    <t>M149-230</t>
  </si>
  <si>
    <t>PAPER, THERMAL SENTIVE</t>
  </si>
  <si>
    <t>CONTROL PANEL ASSY</t>
  </si>
  <si>
    <t>F1273026</t>
  </si>
  <si>
    <t>PENDULUM</t>
  </si>
  <si>
    <t>A1206416</t>
  </si>
  <si>
    <t>A1252314</t>
  </si>
  <si>
    <t>A1251320</t>
  </si>
  <si>
    <t>A1240548</t>
  </si>
  <si>
    <t>A1254859</t>
  </si>
  <si>
    <t>A1184959</t>
  </si>
  <si>
    <t>F1406261</t>
  </si>
  <si>
    <t>H150AK26</t>
  </si>
  <si>
    <t>MASS</t>
  </si>
  <si>
    <t>WINDOW GLASS 1.625 X 1.150 X .030</t>
  </si>
  <si>
    <t>R2IICPN20</t>
  </si>
  <si>
    <t>FUSE,5V</t>
  </si>
  <si>
    <t>R6GE149ZC</t>
  </si>
  <si>
    <t>SWITCH:- ROT 1/2 1POLE 6POS ADJ N-</t>
  </si>
  <si>
    <t>HEATING SEAL</t>
  </si>
  <si>
    <t>V23040-A0002-B201</t>
  </si>
  <si>
    <t>MINIATURE RELAY</t>
  </si>
  <si>
    <t>S9026G267</t>
  </si>
  <si>
    <t>D72D70212-111A</t>
  </si>
  <si>
    <t>MICROCIRCUIT,PMD</t>
  </si>
  <si>
    <t>F2000061</t>
  </si>
  <si>
    <t>BUMPER PAD ASSY</t>
  </si>
  <si>
    <t>WHEEL WELL SEAL</t>
  </si>
  <si>
    <t>SPRING-PIN RETAINER</t>
  </si>
  <si>
    <t>F101200007</t>
  </si>
  <si>
    <t>INDEX</t>
  </si>
  <si>
    <t>IC PROG</t>
  </si>
  <si>
    <t>H150AK46</t>
  </si>
  <si>
    <t>A35229</t>
  </si>
  <si>
    <t>BAR TORQUE</t>
  </si>
  <si>
    <t>NAS1805-8P</t>
  </si>
  <si>
    <t>AC9165A</t>
  </si>
  <si>
    <t>K802 SNTRA 9X16, 8BX=1CS, 16CS=1PLT</t>
  </si>
  <si>
    <t>BACC63BP10A5PN</t>
  </si>
  <si>
    <t>DOOR LATCH</t>
  </si>
  <si>
    <t>PITOT STATIC TEST SET</t>
  </si>
  <si>
    <t>CT415AV</t>
  </si>
  <si>
    <t>CT-415AV GAP SETTING TOOL</t>
  </si>
  <si>
    <t>E50</t>
  </si>
  <si>
    <t>MAGNETO SYNCHRONIZER</t>
  </si>
  <si>
    <t>E2A</t>
  </si>
  <si>
    <t>COMPRESSION TESTER</t>
  </si>
  <si>
    <t>SOFTWARE LABEL(FOR MOD F)</t>
  </si>
  <si>
    <t>A36007</t>
  </si>
  <si>
    <t>GUARD-DUST</t>
  </si>
  <si>
    <t>V23234-A0004-X051</t>
  </si>
  <si>
    <t>RHM38E</t>
  </si>
  <si>
    <t>RHB32E</t>
  </si>
  <si>
    <t>AILERON GAP SEAL</t>
  </si>
  <si>
    <t>CH48108-1</t>
  </si>
  <si>
    <t>ELEMENT ASSY</t>
  </si>
  <si>
    <t>A35393-11</t>
  </si>
  <si>
    <t>PIN ADJUSTER</t>
  </si>
  <si>
    <t>HTE711-59V</t>
  </si>
  <si>
    <t>COUPLING SELF SE</t>
  </si>
  <si>
    <t>A5210-11P</t>
  </si>
  <si>
    <t>SLIDE</t>
  </si>
  <si>
    <t>A5210-13P</t>
  </si>
  <si>
    <t>AR4672-1</t>
  </si>
  <si>
    <t>KIT-LATCH AND STRIKE ASSY</t>
  </si>
  <si>
    <t>AR4653-1</t>
  </si>
  <si>
    <t>STRIKE ASSY</t>
  </si>
  <si>
    <t>DLH105-183</t>
  </si>
  <si>
    <t>HOT JUG</t>
  </si>
  <si>
    <t>ABS1040-64</t>
  </si>
  <si>
    <t>R8K1X671201</t>
  </si>
  <si>
    <t>A1207879</t>
  </si>
  <si>
    <t>A1242273</t>
  </si>
  <si>
    <t>F71AAM</t>
  </si>
  <si>
    <t>E16453HA02</t>
  </si>
  <si>
    <t>CONTROL, PROCESS</t>
  </si>
  <si>
    <t>A35166</t>
  </si>
  <si>
    <t>GUIDE SPRING</t>
  </si>
  <si>
    <t>A35217</t>
  </si>
  <si>
    <t>A35333</t>
  </si>
  <si>
    <t>CAPACITY</t>
  </si>
  <si>
    <t>CCR264CS3-03</t>
  </si>
  <si>
    <t>CHERRY PULL-THRU RIVET</t>
  </si>
  <si>
    <t>MS21043-4</t>
  </si>
  <si>
    <t>A35079</t>
  </si>
  <si>
    <t>ELECTRICAL</t>
  </si>
  <si>
    <t>BACC47EG3</t>
  </si>
  <si>
    <t>CONTACT#16</t>
  </si>
  <si>
    <t>E0171LA1600</t>
  </si>
  <si>
    <t>BA23217-1</t>
  </si>
  <si>
    <t>M39029/10-522</t>
  </si>
  <si>
    <t>M39029/12-148</t>
  </si>
  <si>
    <t>M39029/32-242</t>
  </si>
  <si>
    <t>M39029/56-349</t>
  </si>
  <si>
    <t>M39029/87-475</t>
  </si>
  <si>
    <t>M39029/9-134</t>
  </si>
  <si>
    <t>M39029/9-135</t>
  </si>
  <si>
    <t>MS20995C025</t>
  </si>
  <si>
    <t>LOCKWIRE</t>
  </si>
  <si>
    <t>MS20995CY15</t>
  </si>
  <si>
    <t>MS20995CY20</t>
  </si>
  <si>
    <t>A1252907</t>
  </si>
  <si>
    <t>ENCODER.OPTICAL</t>
  </si>
  <si>
    <t>DPXB21000-2511</t>
  </si>
  <si>
    <t>2100 1.91</t>
  </si>
  <si>
    <t>MS24693-S276</t>
  </si>
  <si>
    <t>MS27983-3</t>
  </si>
  <si>
    <t>MS35206-226</t>
  </si>
  <si>
    <t>MS51957-45B</t>
  </si>
  <si>
    <t>MS51958-62B</t>
  </si>
  <si>
    <t>MS51958-63B</t>
  </si>
  <si>
    <t>NAS1149F0332B</t>
  </si>
  <si>
    <t>NAS1149FN832B</t>
  </si>
  <si>
    <t>NAS1351-3-8</t>
  </si>
  <si>
    <t>NAS1352-08-4</t>
  </si>
  <si>
    <t>NAS1801-08-7</t>
  </si>
  <si>
    <t>NAS1801-3-13</t>
  </si>
  <si>
    <t>AN4-10</t>
  </si>
  <si>
    <t>AN565FC6H5</t>
  </si>
  <si>
    <t>SETSCREW</t>
  </si>
  <si>
    <t>NAS1801-3-10</t>
  </si>
  <si>
    <t>NAS604-12P</t>
  </si>
  <si>
    <t>NAS6203-10</t>
  </si>
  <si>
    <t>NAS623-2-1</t>
  </si>
  <si>
    <t>NAS623-3-20</t>
  </si>
  <si>
    <t>AN4-30A</t>
  </si>
  <si>
    <t>LP27039-0805</t>
  </si>
  <si>
    <t>SCREW,PAN HD</t>
  </si>
  <si>
    <t>TA1S8-C</t>
  </si>
  <si>
    <t>ANCHOR AMOUNT</t>
  </si>
  <si>
    <t>SHADE AY</t>
  </si>
  <si>
    <t>SUNSHADE ASSY</t>
  </si>
  <si>
    <t>MS28775-122</t>
  </si>
  <si>
    <t>MS28775-007</t>
  </si>
  <si>
    <t>MS28775-027</t>
  </si>
  <si>
    <t>MS28775-023</t>
  </si>
  <si>
    <t>MS28775-028</t>
  </si>
  <si>
    <t>MS28775-140</t>
  </si>
  <si>
    <t>MS28775-238</t>
  </si>
  <si>
    <t>AH090646</t>
  </si>
  <si>
    <t>TUBE RET</t>
  </si>
  <si>
    <t>M39016/9-017L</t>
  </si>
  <si>
    <t>MS16995-16</t>
  </si>
  <si>
    <t>SCREW,SOCKET HEAD,CAP</t>
  </si>
  <si>
    <t>GP043-153</t>
  </si>
  <si>
    <t>M39029/11-144</t>
  </si>
  <si>
    <t>M39029/32-254</t>
  </si>
  <si>
    <t>M39029/4-113</t>
  </si>
  <si>
    <t>M39029/56-350</t>
  </si>
  <si>
    <t>M39029/58-361</t>
  </si>
  <si>
    <t>M39029/58-363</t>
  </si>
  <si>
    <t>MS25237-387</t>
  </si>
  <si>
    <t>D56700-0023</t>
  </si>
  <si>
    <t>A35404-2</t>
  </si>
  <si>
    <t>NAS1102E4-6</t>
  </si>
  <si>
    <t>A35176</t>
  </si>
  <si>
    <t>HEATING ELEMENT</t>
  </si>
  <si>
    <t>BFS24</t>
  </si>
  <si>
    <t>FUEL SHUT OFF ASSEMBLY</t>
  </si>
  <si>
    <t>RING CLO</t>
  </si>
  <si>
    <t>PANE</t>
  </si>
  <si>
    <t>NAS517-2-1</t>
  </si>
  <si>
    <t>LC-018A-1MW</t>
  </si>
  <si>
    <t>GPP-125-0187-5</t>
  </si>
  <si>
    <t>PIN, FT/BAR-LG/R</t>
  </si>
  <si>
    <t>LC022D00MW</t>
  </si>
  <si>
    <t>NAS7502U3</t>
  </si>
  <si>
    <t>NAS1149E0316R</t>
  </si>
  <si>
    <t>MS35338-43</t>
  </si>
  <si>
    <t>LOCKWASHER</t>
  </si>
  <si>
    <t>NAS623-3-1</t>
  </si>
  <si>
    <t>HX4</t>
  </si>
  <si>
    <t>CRIMP TOOL (M22520/5-01)</t>
  </si>
  <si>
    <t>M22520/37-01</t>
  </si>
  <si>
    <t>CRIMP TOOL</t>
  </si>
  <si>
    <t>GMT221</t>
  </si>
  <si>
    <t>GMT232</t>
  </si>
  <si>
    <t>N5000-137</t>
  </si>
  <si>
    <t>DOOR FRAME</t>
  </si>
  <si>
    <t>M50-1204</t>
  </si>
  <si>
    <t>NAS1523AA4R</t>
  </si>
  <si>
    <t>PACKING WITH RETAINER</t>
  </si>
  <si>
    <t>DISCNNCT</t>
  </si>
  <si>
    <t>DISCONNE</t>
  </si>
  <si>
    <t>RGS3174</t>
  </si>
  <si>
    <t>MS35650-3255T</t>
  </si>
  <si>
    <t>MS35338-44</t>
  </si>
  <si>
    <t>HSK6263-1</t>
  </si>
  <si>
    <t>FLIGHT DECK DOOR</t>
  </si>
  <si>
    <t>F72917-19</t>
  </si>
  <si>
    <t>BT100AV TRIPLE</t>
  </si>
  <si>
    <t>ELT TESTER</t>
  </si>
  <si>
    <t>BATTARY</t>
  </si>
  <si>
    <t>83.732.323</t>
  </si>
  <si>
    <t>A35041</t>
  </si>
  <si>
    <t>NAS1611-015</t>
  </si>
  <si>
    <t>INSERT PETROFIT</t>
  </si>
  <si>
    <t>GUIDE,SPRING</t>
  </si>
  <si>
    <t>A2004717</t>
  </si>
  <si>
    <t>ENCODER</t>
  </si>
  <si>
    <t>BCTS349-1</t>
  </si>
  <si>
    <t>RECEPT,BLUE,THREADED,MS3509</t>
  </si>
  <si>
    <t>DISPLAY MANAGEMENT</t>
  </si>
  <si>
    <t>D72D71546-111</t>
  </si>
  <si>
    <t>CUSHION-DOOR OPENING</t>
  </si>
  <si>
    <t>M83723-83G1407N</t>
  </si>
  <si>
    <t>CONNECTOR-ELECTRICAL</t>
  </si>
  <si>
    <t>AM737BCX</t>
  </si>
  <si>
    <t>LATCH</t>
  </si>
  <si>
    <t>ACC-6-33</t>
  </si>
  <si>
    <t>NAS1352-08-12P</t>
  </si>
  <si>
    <t>AN3-6A</t>
  </si>
  <si>
    <t>TRRG6</t>
  </si>
  <si>
    <t>AS3582-012</t>
  </si>
  <si>
    <t>PACKING, PREFORMED</t>
  </si>
  <si>
    <t>NAS1804-7</t>
  </si>
  <si>
    <t>NAS1611-219</t>
  </si>
  <si>
    <t>D72D71402-112</t>
  </si>
  <si>
    <t>COVER-BIFOLD,LATCH</t>
  </si>
  <si>
    <t>D72W30048-111A</t>
  </si>
  <si>
    <t>TOILET LID ASSY,LAV A</t>
  </si>
  <si>
    <t>D72D70201-111</t>
  </si>
  <si>
    <t>STOPPER-BIFOLD</t>
  </si>
  <si>
    <t>D72D71403-111</t>
  </si>
  <si>
    <t>D72D71404-111</t>
  </si>
  <si>
    <t>D72D72376-111</t>
  </si>
  <si>
    <t>CUSHION RUBBER-SEAT</t>
  </si>
  <si>
    <t>A1167098</t>
  </si>
  <si>
    <t>PRINTHEAD</t>
  </si>
  <si>
    <t>HLX-64621</t>
  </si>
  <si>
    <t>lamp</t>
  </si>
  <si>
    <t>PIN LOCK A R</t>
  </si>
  <si>
    <t>WA5335-500-101</t>
  </si>
  <si>
    <t>PLUG LOW DE</t>
  </si>
  <si>
    <t>SCREW CAPTIVE</t>
  </si>
  <si>
    <t>CABLE ASSY</t>
  </si>
  <si>
    <t>RECLINE CONTROL</t>
  </si>
  <si>
    <t>NAS561P5-16</t>
  </si>
  <si>
    <t>WA5135-102-101</t>
  </si>
  <si>
    <t>NUT CLIP 8 32 U</t>
  </si>
  <si>
    <t>CLIP AY HYDROLO</t>
  </si>
  <si>
    <t>BACB30LJ4-17</t>
  </si>
  <si>
    <t>NAS1291C3M</t>
  </si>
  <si>
    <t>AM737-911</t>
  </si>
  <si>
    <t>BOLT ASSY</t>
  </si>
  <si>
    <t>TR756-03</t>
  </si>
  <si>
    <t>L507949-20629</t>
  </si>
  <si>
    <t>L507945-20629</t>
  </si>
  <si>
    <t>CONE AND ROLLER</t>
  </si>
  <si>
    <t>EMERGENCY BATTERY PACK</t>
  </si>
  <si>
    <t>MOD STATUS PLATE (MODS A THRU Z)</t>
  </si>
  <si>
    <t>GA31150</t>
  </si>
  <si>
    <t>PLUG,FUSE</t>
  </si>
  <si>
    <t>EQ72902-0223</t>
  </si>
  <si>
    <t>GA30367</t>
  </si>
  <si>
    <t>DUST COVER</t>
  </si>
  <si>
    <t>GA30448</t>
  </si>
  <si>
    <t>GA30630</t>
  </si>
  <si>
    <t>GA31557</t>
  </si>
  <si>
    <t>THRUST PLATE</t>
  </si>
  <si>
    <t>D52615-85</t>
  </si>
  <si>
    <t>UNION</t>
  </si>
  <si>
    <t>GA30905</t>
  </si>
  <si>
    <t>FLANGE ASSY</t>
  </si>
  <si>
    <t>transformer</t>
  </si>
  <si>
    <t>WINDSHIELD ASSY-PILOT,LH</t>
  </si>
  <si>
    <t>D72W30016-111A</t>
  </si>
  <si>
    <t>TOLIT STR0UT</t>
  </si>
  <si>
    <t>ABP002-011</t>
  </si>
  <si>
    <t>ABP004-6</t>
  </si>
  <si>
    <t>ABP002-225</t>
  </si>
  <si>
    <t>ABP002-322</t>
  </si>
  <si>
    <t>RING,BACKUP,PREFORMED PACKING</t>
  </si>
  <si>
    <t>ABP001-202</t>
  </si>
  <si>
    <t>ABP002-012</t>
  </si>
  <si>
    <t>MS27595-012</t>
  </si>
  <si>
    <t>MS24665-82</t>
  </si>
  <si>
    <t>PIN COT</t>
  </si>
  <si>
    <t>MS35266-60</t>
  </si>
  <si>
    <t>MS21209F1-25</t>
  </si>
  <si>
    <t>BAC29PPS1819</t>
  </si>
  <si>
    <t>PLACARD</t>
  </si>
  <si>
    <t>LIGHTED SWITCH</t>
  </si>
  <si>
    <t>MS24523-23</t>
  </si>
  <si>
    <t>M39018-07-0227M</t>
  </si>
  <si>
    <t>MS20002C7</t>
  </si>
  <si>
    <t>CONE,BEARING</t>
  </si>
  <si>
    <t>M39016-14-002M</t>
  </si>
  <si>
    <t>BACC18X35</t>
  </si>
  <si>
    <t>BREAKER,CIRCUIT</t>
  </si>
  <si>
    <t>KD-D4N</t>
  </si>
  <si>
    <t>GP425-104</t>
  </si>
  <si>
    <t>NP887980-20629</t>
  </si>
  <si>
    <t>NP205623-20629</t>
  </si>
  <si>
    <t>SWITCH PUSH BUTTON</t>
  </si>
  <si>
    <t>VP400KH</t>
  </si>
  <si>
    <t>ABS0951B3LP041</t>
  </si>
  <si>
    <t>LED SWITCH ASSY</t>
  </si>
  <si>
    <t>LAMP HOUSING ASSEMBLY</t>
  </si>
  <si>
    <t>RGS2786</t>
  </si>
  <si>
    <t>A1186447</t>
  </si>
  <si>
    <t>.BEARING,BALL</t>
  </si>
  <si>
    <t>F1290372</t>
  </si>
  <si>
    <t>H150AK41</t>
  </si>
  <si>
    <t>H140AAC35</t>
  </si>
  <si>
    <t>H321AB14</t>
  </si>
  <si>
    <t>H341AN44</t>
  </si>
  <si>
    <t>ROD,FAST ERECTION</t>
  </si>
  <si>
    <t>AXM2326809</t>
  </si>
  <si>
    <t>F1278453</t>
  </si>
  <si>
    <t>APP</t>
  </si>
  <si>
    <t>TRJ780-02</t>
  </si>
  <si>
    <t>O-ring</t>
  </si>
  <si>
    <t>S906-10135-9005</t>
  </si>
  <si>
    <t>WINDSHIELD ASSY-COPILOT,RH</t>
  </si>
  <si>
    <t>D2731009900000</t>
  </si>
  <si>
    <t>ABS0951B3LP040</t>
  </si>
  <si>
    <t>LED SWITCH, AIR</t>
  </si>
  <si>
    <t>NOISEGARD-HEADSET CLOSED JACK CONNECTORS BATTERY</t>
  </si>
  <si>
    <t>MS20426D6-10</t>
  </si>
  <si>
    <t>RIVET SOLIDE</t>
  </si>
  <si>
    <t>MS20426D4-4</t>
  </si>
  <si>
    <t>SOLID RIVET</t>
  </si>
  <si>
    <t>C19784-101</t>
  </si>
  <si>
    <t>WARNING FLAG ASSEMBLY</t>
  </si>
  <si>
    <t>TESTER:AIR DATA</t>
  </si>
  <si>
    <t>IFR6000</t>
  </si>
  <si>
    <t>RAMP TEST SET</t>
  </si>
  <si>
    <t>Erosion Protection Strip</t>
  </si>
  <si>
    <t>GP043-162</t>
  </si>
  <si>
    <t>TOOL,TUNING</t>
  </si>
  <si>
    <t>CS-390-02</t>
  </si>
  <si>
    <t>CONDENSOR</t>
  </si>
  <si>
    <t>A1170788</t>
  </si>
  <si>
    <t>PF0000186Y01</t>
  </si>
  <si>
    <t>A3-212-5</t>
  </si>
  <si>
    <t>OL-6839BPC</t>
  </si>
  <si>
    <t>LIGH BULB</t>
  </si>
  <si>
    <t>M4000AC-1</t>
  </si>
  <si>
    <t>M4000AC-2</t>
  </si>
  <si>
    <t>M5000-1</t>
  </si>
  <si>
    <t>D72D72367-111A</t>
  </si>
  <si>
    <t>TOILET SEAT</t>
  </si>
  <si>
    <t>F4NA3F-4</t>
  </si>
  <si>
    <t>AHO88790</t>
  </si>
  <si>
    <t>PLUG ASSY SAFETY</t>
  </si>
  <si>
    <t>M25988-4-011</t>
  </si>
  <si>
    <t>DAS2349/133</t>
  </si>
  <si>
    <t>CIRCLIP</t>
  </si>
  <si>
    <t>DAS2349/135</t>
  </si>
  <si>
    <t>DAS8103-199</t>
  </si>
  <si>
    <t>SCREW TYPE FUSIBLE PLUG ASSY</t>
  </si>
  <si>
    <t>DSR4470-1906</t>
  </si>
  <si>
    <t>RING SEALING</t>
  </si>
  <si>
    <t>DSR3978-55BH</t>
  </si>
  <si>
    <t>ACTUATOR SWITCH</t>
  </si>
  <si>
    <t>CA2752</t>
  </si>
  <si>
    <t>S8990-705</t>
  </si>
  <si>
    <t>M85049/52-1-10W</t>
  </si>
  <si>
    <t>ADAPTER STRAIN RELIEF BACKSHELL</t>
  </si>
  <si>
    <t>MS28775-011</t>
  </si>
  <si>
    <t>AS3209-143</t>
  </si>
  <si>
    <t>S9412-028</t>
  </si>
  <si>
    <t>S9413-015</t>
  </si>
  <si>
    <t>S9413-117</t>
  </si>
  <si>
    <t>EEPROM</t>
  </si>
  <si>
    <t>BODY,LIGHT</t>
  </si>
  <si>
    <t>CAP LIGHT</t>
  </si>
  <si>
    <t>PMD</t>
  </si>
  <si>
    <t>RS900U114</t>
  </si>
  <si>
    <t>R8U1X7308YFB</t>
  </si>
  <si>
    <t>CARD ASSY</t>
  </si>
  <si>
    <t>R8U1X7308YFA</t>
  </si>
  <si>
    <t>R5UB15B</t>
  </si>
  <si>
    <t>FLEXIBLE PC BOARD</t>
  </si>
  <si>
    <t>YC501U</t>
  </si>
  <si>
    <t>POTENTIOMETERS</t>
  </si>
  <si>
    <t>DAS2081-3</t>
  </si>
  <si>
    <t>AH088790</t>
  </si>
  <si>
    <t>AHM8352</t>
  </si>
  <si>
    <t>AH088829</t>
  </si>
  <si>
    <t>MS9358-09</t>
  </si>
  <si>
    <t>RADAR ANTENNA</t>
  </si>
  <si>
    <t>ELT (WITH GPS AND VOICE)</t>
  </si>
  <si>
    <t>R2SGP2L22B</t>
  </si>
  <si>
    <t>PHOTO INTERRUPTER</t>
  </si>
  <si>
    <t>R4R18XJ472VE</t>
  </si>
  <si>
    <t>CHIP RESISTOR</t>
  </si>
  <si>
    <t>S32925-725H99</t>
  </si>
  <si>
    <t>EXCLUDER</t>
  </si>
  <si>
    <t>S34711-333H99</t>
  </si>
  <si>
    <t>S34721-341H99N</t>
  </si>
  <si>
    <t>ADHESIVE 70 ML</t>
  </si>
  <si>
    <t>CR3255-4-03</t>
  </si>
  <si>
    <t>M83248/1-152</t>
  </si>
  <si>
    <t>MS25036-102</t>
  </si>
  <si>
    <t>ELECTRICAL TERMINAL</t>
  </si>
  <si>
    <t>NAS1612-8</t>
  </si>
  <si>
    <t>NAS514P832-6</t>
  </si>
  <si>
    <t>NAS516-1A</t>
  </si>
  <si>
    <t>NAS6206-20D</t>
  </si>
  <si>
    <t>PE21101-3-4TA</t>
  </si>
  <si>
    <t>PE22072L4</t>
  </si>
  <si>
    <t>MS35265-43</t>
  </si>
  <si>
    <t>NAS2833T3PT</t>
  </si>
  <si>
    <t>NAS2833T8PT</t>
  </si>
  <si>
    <t>NAS1611-116</t>
  </si>
  <si>
    <t>NAS1611-027</t>
  </si>
  <si>
    <t>NAS1611-032</t>
  </si>
  <si>
    <t>S34722-327H5N</t>
  </si>
  <si>
    <t>PLUS SEAL</t>
  </si>
  <si>
    <t>S34582-218H99N</t>
  </si>
  <si>
    <t>R5SCB24R3</t>
  </si>
  <si>
    <t>R6BC3A</t>
  </si>
  <si>
    <t>GROMMENT</t>
  </si>
  <si>
    <t>R5U204B</t>
  </si>
  <si>
    <t>R5U205B</t>
  </si>
  <si>
    <t>CONENCTOR</t>
  </si>
  <si>
    <t>filter</t>
  </si>
  <si>
    <t>MIL-LT 3/32 BLU</t>
  </si>
  <si>
    <t>HEAT SHRINKABLE</t>
  </si>
  <si>
    <t>NO.18 VARGLAS TYP HO GRY</t>
  </si>
  <si>
    <t>VARGLAS SLEEVE</t>
  </si>
  <si>
    <t>VS827</t>
  </si>
  <si>
    <t>VS822</t>
  </si>
  <si>
    <t>NAS1611-385</t>
  </si>
  <si>
    <t>SEAL-O-RING</t>
  </si>
  <si>
    <t>SEAL SLIPPER</t>
  </si>
  <si>
    <t>NAS1611-464</t>
  </si>
  <si>
    <t>AS3582-010</t>
  </si>
  <si>
    <t>L225849-20629</t>
  </si>
  <si>
    <t>MS20002C6</t>
  </si>
  <si>
    <t>L305649-20629</t>
  </si>
  <si>
    <t>L610549-20629</t>
  </si>
  <si>
    <t>TRRG30</t>
  </si>
  <si>
    <t>MS21250-06024</t>
  </si>
  <si>
    <t>R8KGV984302</t>
  </si>
  <si>
    <t>HINGE ASSY</t>
  </si>
  <si>
    <t>TEMPERATURE CONTROL</t>
  </si>
  <si>
    <t>VN405W064</t>
  </si>
  <si>
    <t>SM4-6S1-501</t>
  </si>
  <si>
    <t>L9-130-AG</t>
  </si>
  <si>
    <t>L9-130-AR</t>
  </si>
  <si>
    <t>PE22072L8</t>
  </si>
  <si>
    <t>PE27019RC16D</t>
  </si>
  <si>
    <t>SUPPORT</t>
  </si>
  <si>
    <t>F51651-3</t>
  </si>
  <si>
    <t>COVER, TRACK</t>
  </si>
  <si>
    <t>YR-9625</t>
  </si>
  <si>
    <t>TAPE</t>
  </si>
  <si>
    <t>FILET</t>
  </si>
  <si>
    <t>S30852-335H5N</t>
  </si>
  <si>
    <t>S30855-219H99</t>
  </si>
  <si>
    <t>S32925-14H5N</t>
  </si>
  <si>
    <t>EXCLUDER DC</t>
  </si>
  <si>
    <t>S30855-333H99</t>
  </si>
  <si>
    <t>S32925-25H5N</t>
  </si>
  <si>
    <t>K5H2013A0025</t>
  </si>
  <si>
    <t>SWITCH ASSY</t>
  </si>
  <si>
    <t>MS21076L4</t>
  </si>
  <si>
    <t>BACN10JR3CFM</t>
  </si>
  <si>
    <t>NAS1793C4-1</t>
  </si>
  <si>
    <t>SHROULD</t>
  </si>
  <si>
    <t>SHROUD</t>
  </si>
  <si>
    <t>S102F10-06</t>
  </si>
  <si>
    <t>P102C10-01</t>
  </si>
  <si>
    <t>S33865-5H5N</t>
  </si>
  <si>
    <t>EXCLUDER DC ASSY</t>
  </si>
  <si>
    <t>S33121-210H5</t>
  </si>
  <si>
    <t>PR1425B2</t>
  </si>
  <si>
    <t>SEALANT</t>
  </si>
  <si>
    <t>LANYARD</t>
  </si>
  <si>
    <t>SEAL EXTERNAL</t>
  </si>
  <si>
    <t>M22520/2-06</t>
  </si>
  <si>
    <t>POSITIONER</t>
  </si>
  <si>
    <t>FORK ASSY</t>
  </si>
  <si>
    <t>SPOOL SLEEVE ASSY</t>
  </si>
  <si>
    <t>LH564</t>
  </si>
  <si>
    <t>GLYD RING</t>
  </si>
  <si>
    <t>NATO SINGLE 4 POLE PLUG</t>
  </si>
  <si>
    <t>NATO JACK</t>
  </si>
  <si>
    <t>MICRO CIRCUIT</t>
  </si>
  <si>
    <t>R8U8AX6735ZA</t>
  </si>
  <si>
    <t>SUB ASSEMBLY PWB</t>
  </si>
  <si>
    <t>R8K1X671102</t>
  </si>
  <si>
    <t>SUB ASSEMBLY MECHANICAL</t>
  </si>
  <si>
    <t>R8K2X671102A</t>
  </si>
  <si>
    <t>BACK CABINET</t>
  </si>
  <si>
    <t>R8K1X671202</t>
  </si>
  <si>
    <t>S30855-116H5N</t>
  </si>
  <si>
    <t>S33121-218-5</t>
  </si>
  <si>
    <t>MXM42</t>
  </si>
  <si>
    <t>CORD,ASSY</t>
  </si>
  <si>
    <t>S30775-111H5</t>
  </si>
  <si>
    <t>PMD ASSY</t>
  </si>
  <si>
    <t>MS21059L4</t>
  </si>
  <si>
    <t>BACN10KB4F</t>
  </si>
  <si>
    <t>BACN10JR3CF</t>
  </si>
  <si>
    <t>R6US128ZB</t>
  </si>
  <si>
    <t>PX19</t>
  </si>
  <si>
    <t>A7632-3</t>
  </si>
  <si>
    <t>REMOTE BATTERY PACK</t>
  </si>
  <si>
    <t>MXH30-20</t>
  </si>
  <si>
    <t>HARNESS</t>
  </si>
  <si>
    <t>R6KF297YA</t>
  </si>
  <si>
    <t>KEY</t>
  </si>
  <si>
    <t>BEARING, BALL</t>
  </si>
  <si>
    <t>S30660-112</t>
  </si>
  <si>
    <t>CAP RING</t>
  </si>
  <si>
    <t>S30660-112N</t>
  </si>
  <si>
    <t>S30662-221N</t>
  </si>
  <si>
    <t>S33121-211-99</t>
  </si>
  <si>
    <t>S33865-6H99N</t>
  </si>
  <si>
    <t>MS27508E18A53P</t>
  </si>
  <si>
    <t>AS115-06K0346</t>
  </si>
  <si>
    <t>AS1895-7-300</t>
  </si>
  <si>
    <t>AS1895-7-350</t>
  </si>
  <si>
    <t>FLANGE</t>
  </si>
  <si>
    <t>AS3209-239</t>
  </si>
  <si>
    <t>BACH8A04EE0320B</t>
  </si>
  <si>
    <t>C2006</t>
  </si>
  <si>
    <t>JLD4N</t>
  </si>
  <si>
    <t>M25988-1-014</t>
  </si>
  <si>
    <t>M25988-1-156</t>
  </si>
  <si>
    <t>M83248-1-035</t>
  </si>
  <si>
    <t>M83248-1-133</t>
  </si>
  <si>
    <t>M83248-1-140</t>
  </si>
  <si>
    <t>M83248-1-156</t>
  </si>
  <si>
    <t>M83248-1-160</t>
  </si>
  <si>
    <t>M83248-1-176</t>
  </si>
  <si>
    <t>M83248-1-215</t>
  </si>
  <si>
    <t>M83248-1-270</t>
  </si>
  <si>
    <t>MS20995C20</t>
  </si>
  <si>
    <t>MS27240-1</t>
  </si>
  <si>
    <t>MS27595-013</t>
  </si>
  <si>
    <t>MS28774-344</t>
  </si>
  <si>
    <t>MS28775-344</t>
  </si>
  <si>
    <t>NAS1387-2</t>
  </si>
  <si>
    <t>NAS1612-20A</t>
  </si>
  <si>
    <t>NAS1801-04-5</t>
  </si>
  <si>
    <t>NAS1801-3-14</t>
  </si>
  <si>
    <t>NAS514P632-12</t>
  </si>
  <si>
    <t>NAS8704-5</t>
  </si>
  <si>
    <t>NAS8704-8</t>
  </si>
  <si>
    <t>OL6839</t>
  </si>
  <si>
    <t>LAMP OL BRAND</t>
  </si>
  <si>
    <t>Q4632 (GE)</t>
  </si>
  <si>
    <t>A4174-24 (CM)</t>
  </si>
  <si>
    <t>M83248-1-222</t>
  </si>
  <si>
    <t>R8K1A615601</t>
  </si>
  <si>
    <t>E0053R16B26SNE</t>
  </si>
  <si>
    <t>E0053R16B26SWE</t>
  </si>
  <si>
    <t>S906-30234-102</t>
  </si>
  <si>
    <t>BCM-SIKORSKY S-76 CMM</t>
  </si>
  <si>
    <t>MEDIA:DIGITAL. W/BACKUP DISC OPTION</t>
  </si>
  <si>
    <t>SEAL DOOR</t>
  </si>
  <si>
    <t>CHECK</t>
  </si>
  <si>
    <t>LABAL</t>
  </si>
  <si>
    <t>SEAL-TIP</t>
  </si>
  <si>
    <t>CASING ASSY</t>
  </si>
  <si>
    <t>COVER PLATE</t>
  </si>
  <si>
    <t>BACN10YR4CD</t>
  </si>
  <si>
    <t>FILTER AY</t>
  </si>
  <si>
    <t>M39029/32-259</t>
  </si>
  <si>
    <t>CONTACTOR</t>
  </si>
  <si>
    <t>NAS1387-1</t>
  </si>
  <si>
    <t>NAS1387-4</t>
  </si>
  <si>
    <t>NAS1388-1</t>
  </si>
  <si>
    <t>BLADE</t>
  </si>
  <si>
    <t>TRANSPNDR</t>
  </si>
  <si>
    <t>AL-5/AVL-TKS</t>
  </si>
  <si>
    <t>DE-ICE FLUID</t>
  </si>
  <si>
    <t>KEYCAP</t>
  </si>
  <si>
    <t>DOOR,LH</t>
  </si>
  <si>
    <t>DOOR,RH</t>
  </si>
  <si>
    <t>R00700X250A20B6</t>
  </si>
  <si>
    <t>O-RING; RUBBER</t>
  </si>
  <si>
    <t>ABP002-009</t>
  </si>
  <si>
    <t>S38659-5</t>
  </si>
  <si>
    <t>RING SCR</t>
  </si>
  <si>
    <t>RA47630</t>
  </si>
  <si>
    <t>N5000-131</t>
  </si>
  <si>
    <t>RING RETAINER</t>
  </si>
  <si>
    <t>LCD 4 DIGIT TCAS</t>
  </si>
  <si>
    <t>OL718BPAAS15</t>
  </si>
  <si>
    <t>SRF3685B</t>
  </si>
  <si>
    <t>E0217XXX030A</t>
  </si>
  <si>
    <t>AC13303-2</t>
  </si>
  <si>
    <t>RECPTCL, HOT CUP</t>
  </si>
  <si>
    <t>MASK ASSY PASSENGER OXYGEN</t>
  </si>
  <si>
    <t>1 Hexnut</t>
  </si>
  <si>
    <t>C4 Keyway washer</t>
  </si>
  <si>
    <t>internal tooth lockwasher</t>
  </si>
  <si>
    <t>MS9386-214</t>
  </si>
  <si>
    <t>M8791-1-124</t>
  </si>
  <si>
    <t>RETAINER, PACKING</t>
  </si>
  <si>
    <t>MS28775-269</t>
  </si>
  <si>
    <t>PACKING, NLG WHEEL</t>
  </si>
  <si>
    <t>MS25069-1495</t>
  </si>
  <si>
    <t>MS25231-313</t>
  </si>
  <si>
    <t>AS3493-01</t>
  </si>
  <si>
    <t>FILTER, APU FUEL</t>
  </si>
  <si>
    <t>FILTER, ENGINE FUEL</t>
  </si>
  <si>
    <t>AS3209-147</t>
  </si>
  <si>
    <t>AS3209-214</t>
  </si>
  <si>
    <t>GASKET, IGNITOR PLUGS</t>
  </si>
  <si>
    <t>IGNITOR PLUGS</t>
  </si>
  <si>
    <t>MS9966-04</t>
  </si>
  <si>
    <t>FILTER, ENGINE OIL</t>
  </si>
  <si>
    <t>RG30</t>
  </si>
  <si>
    <t>NAS1611-222</t>
  </si>
  <si>
    <t>MS15584-16</t>
  </si>
  <si>
    <t>UZ4400B</t>
  </si>
  <si>
    <t>E0530-01</t>
  </si>
  <si>
    <t>RD409-101</t>
  </si>
  <si>
    <t>TEST PLUG</t>
  </si>
  <si>
    <t>NP165331-1</t>
  </si>
  <si>
    <t>NAS1102E4-16</t>
  </si>
  <si>
    <t>R6BC2A</t>
  </si>
  <si>
    <t>GROMMET, FASTENER</t>
  </si>
  <si>
    <t>GT-RING</t>
  </si>
  <si>
    <t>MS28775-283</t>
  </si>
  <si>
    <t>TR763-03</t>
  </si>
  <si>
    <t>PHOTODIODE,ASSY</t>
  </si>
  <si>
    <t>INSERT, Screw thread</t>
  </si>
  <si>
    <t>DAS2124-55</t>
  </si>
  <si>
    <t>DSR4424/1212</t>
  </si>
  <si>
    <t>REVET</t>
  </si>
  <si>
    <t>HME 26-PJ68</t>
  </si>
  <si>
    <t>KIMTEX WIPERS</t>
  </si>
  <si>
    <t>MS27755</t>
  </si>
  <si>
    <t>ANTI-G SUIT CONNECTOR</t>
  </si>
  <si>
    <t>R6US191ZB</t>
  </si>
  <si>
    <t>POWER SPRING</t>
  </si>
  <si>
    <t>WINDSCREEN</t>
  </si>
  <si>
    <t>CORD ASSY</t>
  </si>
  <si>
    <t>JMB1330A</t>
  </si>
  <si>
    <t>JYK121</t>
  </si>
  <si>
    <t>AR9219-1D1D102</t>
  </si>
  <si>
    <t>Faucet Assy</t>
  </si>
  <si>
    <t>R8K1X674001</t>
  </si>
  <si>
    <t>PANEL ASSY, FRONG</t>
  </si>
  <si>
    <t>CARGO LOADING SYSTEM</t>
  </si>
  <si>
    <t>STAND</t>
  </si>
  <si>
    <t>CLS FITTINGS SET</t>
  </si>
  <si>
    <t>R6HE163ZA</t>
  </si>
  <si>
    <t>PLATE NUT</t>
  </si>
  <si>
    <t>MS51957-28</t>
  </si>
  <si>
    <t>R5SCB6R5F</t>
  </si>
  <si>
    <t>RG380E44LS</t>
  </si>
  <si>
    <t>ELEC OPT</t>
  </si>
  <si>
    <t>BD/ASSY</t>
  </si>
  <si>
    <t>R6US61ZA</t>
  </si>
  <si>
    <t>ADHESIVE KIT</t>
  </si>
  <si>
    <t>R8K6V981801</t>
  </si>
  <si>
    <t>R6HM779ZA</t>
  </si>
  <si>
    <t>LINK</t>
  </si>
  <si>
    <t>S9413-012</t>
  </si>
  <si>
    <t>SEALING FUSE</t>
  </si>
  <si>
    <t>TR762-03</t>
  </si>
  <si>
    <t>TR762-02</t>
  </si>
  <si>
    <t>MS20813-1</t>
  </si>
  <si>
    <t>83.453.001</t>
  </si>
  <si>
    <t>BATTERY CELLS-6 in 1PACK</t>
  </si>
  <si>
    <t>RING SEAL</t>
  </si>
  <si>
    <t>S700M0974-501</t>
  </si>
  <si>
    <t>UNION RSTR</t>
  </si>
  <si>
    <t>TUBE ASSY</t>
  </si>
  <si>
    <t>LIGHT-READING LED</t>
  </si>
  <si>
    <t>DSS1015</t>
  </si>
  <si>
    <t>MS29526-2</t>
  </si>
  <si>
    <t>MS24665-287</t>
  </si>
  <si>
    <t>M39029/31-229</t>
  </si>
  <si>
    <t>F1276070</t>
  </si>
  <si>
    <t>NAS6002U10</t>
  </si>
  <si>
    <t>HEADSET,OPEN XLR-5 CONNECTOR</t>
  </si>
  <si>
    <t>J1220G12</t>
  </si>
  <si>
    <t>CLAMP/GE</t>
  </si>
  <si>
    <t>S8157K35-250</t>
  </si>
  <si>
    <t>NAS1032C3W</t>
  </si>
  <si>
    <t>LOCKNUT,PLATE-ONE LUG</t>
  </si>
  <si>
    <t>ABS0691-010</t>
  </si>
  <si>
    <t>MS17826-5</t>
  </si>
  <si>
    <t>NAS1169-8L</t>
  </si>
  <si>
    <t>SEAL ROD</t>
  </si>
  <si>
    <t>Q4632</t>
  </si>
  <si>
    <t>THRESHOLD</t>
  </si>
  <si>
    <t>TR752-03</t>
  </si>
  <si>
    <t>VALVE ASSY, CARTRIDGE</t>
  </si>
  <si>
    <t>HL10VF6-2</t>
  </si>
  <si>
    <t>HL PIN</t>
  </si>
  <si>
    <t>A21211-E154241111</t>
  </si>
  <si>
    <t>SERIES 100, SOLDER TERM, SINGLE POLE</t>
  </si>
  <si>
    <t>MS24524-27</t>
  </si>
  <si>
    <t>PISTON</t>
  </si>
  <si>
    <t>PROBE-EGT</t>
  </si>
  <si>
    <t>RD239-127</t>
  </si>
  <si>
    <t>AR77547</t>
  </si>
  <si>
    <t>OVERHEAD BIN LATCHES</t>
  </si>
  <si>
    <t>MS24266R10T2SN</t>
  </si>
  <si>
    <t>BACC63BP12C12SN</t>
  </si>
  <si>
    <t>BACC63BP10A5S</t>
  </si>
  <si>
    <t>ZV3335</t>
  </si>
  <si>
    <t>BVO3112-03-33</t>
  </si>
  <si>
    <t>HOLDER LAMP</t>
  </si>
  <si>
    <t>JGV1242</t>
  </si>
  <si>
    <t>D717-01-080</t>
  </si>
  <si>
    <t>CONTROL BOARD</t>
  </si>
  <si>
    <t>VN401B144</t>
  </si>
  <si>
    <t>LIGHT-READING</t>
  </si>
  <si>
    <t>JRD330D</t>
  </si>
  <si>
    <t>MS27595-444</t>
  </si>
  <si>
    <t>NAS1102-08-7</t>
  </si>
  <si>
    <t>BLIND-ROLLER,FWD</t>
  </si>
  <si>
    <t>DAN6-6-3</t>
  </si>
  <si>
    <t>R8K1X674059</t>
  </si>
  <si>
    <t>PANEL ASSY, FRONT</t>
  </si>
  <si>
    <t>S34712-214H5</t>
  </si>
  <si>
    <t>MS24693S275</t>
  </si>
  <si>
    <t>MS21209-F4-15</t>
  </si>
  <si>
    <t>AN3H4A</t>
  </si>
  <si>
    <t>CRT</t>
  </si>
  <si>
    <t>A33827</t>
  </si>
  <si>
    <t>SET BALANCE WEIGHTS</t>
  </si>
  <si>
    <t>A12115-F455411166</t>
  </si>
  <si>
    <t>SERIES 100, CRIMP TERM, DPDT, LED LIGHTED TYPE 1</t>
  </si>
  <si>
    <t>A12115-F455413366</t>
  </si>
  <si>
    <t>A12125-F455413366</t>
  </si>
  <si>
    <t>SOCKET CONTACT CRIMP</t>
  </si>
  <si>
    <t>PUSHBUTTON EXTRACTION TOOL</t>
  </si>
  <si>
    <t>CRIMPING TOOL, PIN 22-192</t>
  </si>
  <si>
    <t>POSITIONER, CRIMP TOOL 22-192</t>
  </si>
  <si>
    <t>INSERTION/EXTRACTION TOOL</t>
  </si>
  <si>
    <t>CORD</t>
  </si>
  <si>
    <t>BB1430</t>
  </si>
  <si>
    <t>SYNCHRO XMTR</t>
  </si>
  <si>
    <t>AU283T</t>
  </si>
  <si>
    <t>MS28775-385</t>
  </si>
  <si>
    <t>BB-1433</t>
  </si>
  <si>
    <t>SYNCHRO</t>
  </si>
  <si>
    <t>COMM CORD KIT</t>
  </si>
  <si>
    <t>U-92A/U</t>
  </si>
  <si>
    <t>JACK</t>
  </si>
  <si>
    <t>ASSY/PLASTIC G7500-01-GRY 595B361</t>
  </si>
  <si>
    <t>MS9245-23</t>
  </si>
  <si>
    <t>PIN: COTTER,CRES,</t>
  </si>
  <si>
    <t>NUT OPTION (IC)</t>
  </si>
  <si>
    <t>MS51957-1</t>
  </si>
  <si>
    <t>MS51957-3</t>
  </si>
  <si>
    <t>NAS1388-2</t>
  </si>
  <si>
    <t>AS3208-08</t>
  </si>
  <si>
    <t>AS3209-115</t>
  </si>
  <si>
    <t>AS3209-120</t>
  </si>
  <si>
    <t>AS3209-224</t>
  </si>
  <si>
    <t>AS3582-016</t>
  </si>
  <si>
    <t>MS29513-020</t>
  </si>
  <si>
    <t>M83248/1-010</t>
  </si>
  <si>
    <t>M25988-1-022</t>
  </si>
  <si>
    <t>M25988-1-212</t>
  </si>
  <si>
    <t>M25988-1-916</t>
  </si>
  <si>
    <t>MS9385-12</t>
  </si>
  <si>
    <t>NAS1596-5</t>
  </si>
  <si>
    <t>MS24693-S49</t>
  </si>
  <si>
    <t>MS24693-S50</t>
  </si>
  <si>
    <t>CHECK ASSEBLY</t>
  </si>
  <si>
    <t>CATRIDGE</t>
  </si>
  <si>
    <t>MAIN BATTERY-25 AMP</t>
  </si>
  <si>
    <t>HOUSING,BACKPART</t>
  </si>
  <si>
    <t>EN2997SE02039F6</t>
  </si>
  <si>
    <t>Q4566</t>
  </si>
  <si>
    <t>R8U2AV3007YC</t>
  </si>
  <si>
    <t>MKT1822-433-065</t>
  </si>
  <si>
    <t>S3225-902</t>
  </si>
  <si>
    <t>JTK330</t>
  </si>
  <si>
    <t>A0696Y</t>
  </si>
  <si>
    <t>E0090-16-160</t>
  </si>
  <si>
    <t>DISCONNECT</t>
  </si>
  <si>
    <t>MS25348-1</t>
  </si>
  <si>
    <t>CBS28</t>
  </si>
  <si>
    <t>BATTERY POWER SUPPLY</t>
  </si>
  <si>
    <t>SERIES 200 INDICATOR,LED LIGHTED,NVG DISPLAY</t>
  </si>
  <si>
    <t>H3310</t>
  </si>
  <si>
    <t>HEADSET/MICROPHONE</t>
  </si>
  <si>
    <t>ENTRETOISE ART ACCD</t>
  </si>
  <si>
    <t>R8S4AV9809ZA</t>
  </si>
  <si>
    <t>WIRE ASSEMBLY</t>
  </si>
  <si>
    <t>SENSOR WATER</t>
  </si>
  <si>
    <t>MIL-LT3/32BLU</t>
  </si>
  <si>
    <t>HEAT SHRINKABLE SLEEVE</t>
  </si>
  <si>
    <t>R5AK13A</t>
  </si>
  <si>
    <t>PIN WEAR</t>
  </si>
  <si>
    <t>FN12-02</t>
  </si>
  <si>
    <t>NUT LKG</t>
  </si>
  <si>
    <t>MS27595-010</t>
  </si>
  <si>
    <t>MS27595-218</t>
  </si>
  <si>
    <t>S11065-0015-5</t>
  </si>
  <si>
    <t>PL INSTR</t>
  </si>
  <si>
    <t>PIN RET</t>
  </si>
  <si>
    <t>MS21299C6</t>
  </si>
  <si>
    <t>STATISTIC DISCHARGER</t>
  </si>
  <si>
    <t>NAS1242DD6-6</t>
  </si>
  <si>
    <t>NAS625-18</t>
  </si>
  <si>
    <t>NAS6303U4X</t>
  </si>
  <si>
    <t>NSA5031-5-16</t>
  </si>
  <si>
    <t>H854-9</t>
  </si>
  <si>
    <t>HINGES</t>
  </si>
  <si>
    <t>E0743ZZ28D</t>
  </si>
  <si>
    <t>ABS0951C3LM009</t>
  </si>
  <si>
    <t>SWICTH</t>
  </si>
  <si>
    <t>R6US225ZB</t>
  </si>
  <si>
    <t>EWB22-5-16</t>
  </si>
  <si>
    <t>DSR1196-1003</t>
  </si>
  <si>
    <t>SUNVISOR ASSY-FRONT</t>
  </si>
  <si>
    <t>EN6115V4-5</t>
  </si>
  <si>
    <t>ASNA2027V4-4</t>
  </si>
  <si>
    <t>SWITCH, DIFFERENTIAL</t>
  </si>
  <si>
    <t>T-HANDLE CHUCK</t>
  </si>
  <si>
    <t>CIRCUIT BREAKER 1A</t>
  </si>
  <si>
    <t>DSS1009</t>
  </si>
  <si>
    <t>BVO3112N-20</t>
  </si>
  <si>
    <t>LAMPHOLDER</t>
  </si>
  <si>
    <t>ACARS UNIT</t>
  </si>
  <si>
    <t>OLN115-18K</t>
  </si>
  <si>
    <t>A1237324</t>
  </si>
  <si>
    <t>AGS2059-419BH</t>
  </si>
  <si>
    <t>AGS2059-429BH</t>
  </si>
  <si>
    <t>AH090023</t>
  </si>
  <si>
    <t>AH090726</t>
  </si>
  <si>
    <t>AH090009</t>
  </si>
  <si>
    <t>AH089812</t>
  </si>
  <si>
    <t>J7444-42</t>
  </si>
  <si>
    <t>SHOCK MOUNT-COWL 171</t>
  </si>
  <si>
    <t>Q4597</t>
  </si>
  <si>
    <t>A1235795</t>
  </si>
  <si>
    <t>PS6-40058-00</t>
  </si>
  <si>
    <t>GEAR,MOTOR PINION</t>
  </si>
  <si>
    <t>LCD DISPLAY</t>
  </si>
  <si>
    <t>SFR4SSY105K3V011</t>
  </si>
  <si>
    <t>VENTED NICKEL CADMIUM CELL</t>
  </si>
  <si>
    <t>SPRING DISCONNECT</t>
  </si>
  <si>
    <t>BOOT</t>
  </si>
  <si>
    <t>MS14103-10</t>
  </si>
  <si>
    <t>RN112-0.5/02</t>
  </si>
  <si>
    <t>RS512-0.5/02</t>
  </si>
  <si>
    <t>VIBRATOR</t>
  </si>
  <si>
    <t>NAS679A3W</t>
  </si>
  <si>
    <t>M39016/20-054M</t>
  </si>
  <si>
    <t>RA00081B</t>
  </si>
  <si>
    <t>BOITIER</t>
  </si>
  <si>
    <t>RSNA8528125</t>
  </si>
  <si>
    <t>RESSORT DE TRACTION</t>
  </si>
  <si>
    <t>MS20605AD3W3</t>
  </si>
  <si>
    <t>HOUSING</t>
  </si>
  <si>
    <t>ELT BATTERY</t>
  </si>
  <si>
    <t>N5000-50H</t>
  </si>
  <si>
    <t>BVO3300-01-100</t>
  </si>
  <si>
    <t>BELCRANK</t>
  </si>
  <si>
    <t>TAPE SQUEAK REDUCTION</t>
  </si>
  <si>
    <t>TA14300001</t>
  </si>
  <si>
    <t>Clamp</t>
  </si>
  <si>
    <t>NAS8603-4</t>
  </si>
  <si>
    <t>bolt</t>
  </si>
  <si>
    <t>S3225-008</t>
  </si>
  <si>
    <t>LIGHT,READING</t>
  </si>
  <si>
    <t>MS24665-151</t>
  </si>
  <si>
    <t>LENS 0.176 DIA - AMBR: 0.176 DIA x</t>
  </si>
  <si>
    <t>MISC-3201</t>
  </si>
  <si>
    <t>SERVER COFFEE</t>
  </si>
  <si>
    <t>VALVE HEAD ASSY "KAN"</t>
  </si>
  <si>
    <t>CAP ASSEMBLY, PROTECTIVE</t>
  </si>
  <si>
    <t>AD42BS</t>
  </si>
  <si>
    <t>AD43BS</t>
  </si>
  <si>
    <t>VALVE STEM ASSY</t>
  </si>
  <si>
    <t>BKAC2-400-30080</t>
  </si>
  <si>
    <t>PLATE DATA</t>
  </si>
  <si>
    <t>DECAL WHEEL</t>
  </si>
  <si>
    <t>S34851-346H99</t>
  </si>
  <si>
    <t>BMS13-48T10C01G024</t>
  </si>
  <si>
    <t>DIN472-13X1A2</t>
  </si>
  <si>
    <t>S4236-7</t>
  </si>
  <si>
    <t>NOISEGAR</t>
  </si>
  <si>
    <t>TRACK OUTBOARD AFT</t>
  </si>
  <si>
    <t>SAM222-18</t>
  </si>
  <si>
    <t>R8KLV981801</t>
  </si>
  <si>
    <t>TS200</t>
  </si>
  <si>
    <t>TEST SET</t>
  </si>
  <si>
    <t>RETAINING DEVICE,NUT</t>
  </si>
  <si>
    <t>S380</t>
  </si>
  <si>
    <t>S251</t>
  </si>
  <si>
    <t>SPRING, COMPRESSION</t>
  </si>
  <si>
    <t>AM2785-1-10</t>
  </si>
  <si>
    <t>RIVET,FLAT,.181,C,0.518</t>
  </si>
  <si>
    <t>MS20470AD4-18</t>
  </si>
  <si>
    <t>BUS70M341AT29</t>
  </si>
  <si>
    <t>PP520M341AT99EH</t>
  </si>
  <si>
    <t>MS24612E232</t>
  </si>
  <si>
    <t>S30641-114</t>
  </si>
  <si>
    <t>A37300-1</t>
  </si>
  <si>
    <t>PLUNGER SWITCH</t>
  </si>
  <si>
    <t>LM718947-20629</t>
  </si>
  <si>
    <t>SCD313-49-3</t>
  </si>
  <si>
    <t>HTE110172</t>
  </si>
  <si>
    <t>CONNECTR: - JUMPER .10 PITCH 2" STR</t>
  </si>
  <si>
    <t>SCD475-17-12</t>
  </si>
  <si>
    <t>S3203-675</t>
  </si>
  <si>
    <t>CUSHION-HEADREST</t>
  </si>
  <si>
    <t>FPC-LAYER</t>
  </si>
  <si>
    <t>PLUG, Thermal fuse</t>
  </si>
  <si>
    <t>R8UHAV9809ZA</t>
  </si>
  <si>
    <t>A1253590</t>
  </si>
  <si>
    <t>A1232357</t>
  </si>
  <si>
    <t>MS51958-47</t>
  </si>
  <si>
    <t>MS21044C06</t>
  </si>
  <si>
    <t>NUT,SELF-LOCKING</t>
  </si>
  <si>
    <t>MS9321-05</t>
  </si>
  <si>
    <t>AHM8353</t>
  </si>
  <si>
    <t>DSS0200</t>
  </si>
  <si>
    <t>Quick application kit</t>
  </si>
  <si>
    <t>MS3450W24-28P</t>
  </si>
  <si>
    <t>M85049/52-1-24W</t>
  </si>
  <si>
    <t>TIRE: H35X11-18-20,FLE,TL, 301-633-101</t>
  </si>
  <si>
    <t>ANTI-RATTLE PIN</t>
  </si>
  <si>
    <t>SENSOR ASSY</t>
  </si>
  <si>
    <t>PX100-11</t>
  </si>
  <si>
    <t>PASSENGER HEAD SET</t>
  </si>
  <si>
    <t>MS28775-378</t>
  </si>
  <si>
    <t>LAMP(OL BRAND)</t>
  </si>
  <si>
    <t>LAMP (CM BRAND)</t>
  </si>
  <si>
    <t>AS3237-08</t>
  </si>
  <si>
    <t>FRONT PANEL ASSY</t>
  </si>
  <si>
    <t>RING,RETAINING,EXTERNAL</t>
  </si>
  <si>
    <t>DISCONNECTOR</t>
  </si>
  <si>
    <t>AH081526</t>
  </si>
  <si>
    <t>AN525-10R9</t>
  </si>
  <si>
    <t>AN525-10R10</t>
  </si>
  <si>
    <t>M224713A20629</t>
  </si>
  <si>
    <t>LENS LANDING LIGHT</t>
  </si>
  <si>
    <t>TIRE: 18X4.4,10PR,CH,TL,210MPH, MICHELIN AIR</t>
  </si>
  <si>
    <t>RING RETAINING</t>
  </si>
  <si>
    <t>M224749-20629</t>
  </si>
  <si>
    <t>D72D93014-111</t>
  </si>
  <si>
    <t>LIGHT ASSY-LATCH/</t>
  </si>
  <si>
    <t>NAS77-3-025</t>
  </si>
  <si>
    <t>bushing</t>
  </si>
  <si>
    <t>BAC27DEX6838</t>
  </si>
  <si>
    <t>MARKER</t>
  </si>
  <si>
    <t>keypad</t>
  </si>
  <si>
    <t>CR3212-5-1</t>
  </si>
  <si>
    <t>GA56 GPS ANTENNA</t>
  </si>
  <si>
    <t>MS27708-4</t>
  </si>
  <si>
    <t>H44539</t>
  </si>
  <si>
    <t>SCREW, PAN HEAD</t>
  </si>
  <si>
    <t>OL3071BPEGPL</t>
  </si>
  <si>
    <t>R8U1A6601WAB</t>
  </si>
  <si>
    <t>S30651-110-99</t>
  </si>
  <si>
    <t>DOUBLE DELTA</t>
  </si>
  <si>
    <t>CIRCUIT CARD</t>
  </si>
  <si>
    <t>MS51958-43</t>
  </si>
  <si>
    <t>COFFEE POT</t>
  </si>
  <si>
    <t>MOCROPHONE</t>
  </si>
  <si>
    <t>CR3214-4-04</t>
  </si>
  <si>
    <t>CR3214-5-02</t>
  </si>
  <si>
    <t>MISCELLANEOUS</t>
  </si>
  <si>
    <t>NRE FOR GAEMC</t>
  </si>
  <si>
    <t>AH082817</t>
  </si>
  <si>
    <t>DAS2112-2</t>
  </si>
  <si>
    <t>RESISTOR NTC 5%</t>
  </si>
  <si>
    <t>POWER UNIT</t>
  </si>
  <si>
    <t>SEAL SLIDE VALVE</t>
  </si>
  <si>
    <t>C541A</t>
  </si>
  <si>
    <t>CATCH-ONE TOUC</t>
  </si>
  <si>
    <t>HA915-1</t>
  </si>
  <si>
    <t>NAS1351-3-16P</t>
  </si>
  <si>
    <t>SCREW, CAP, SOCKET HEAD</t>
  </si>
  <si>
    <t>D72D71390-111</t>
  </si>
  <si>
    <t>LOUVER ASSY-SINGLE DOOR</t>
  </si>
  <si>
    <t>ADAPTER, RIGHT ANGLE ELBOW</t>
  </si>
  <si>
    <t>PIN,HEADLESS</t>
  </si>
  <si>
    <t>SETCREW</t>
  </si>
  <si>
    <t>PIN, HEADLESS</t>
  </si>
  <si>
    <t>S205</t>
  </si>
  <si>
    <t>SPRING,COMPRESSION</t>
  </si>
  <si>
    <t>SPIGOT</t>
  </si>
  <si>
    <t>D72D70987-111</t>
  </si>
  <si>
    <t>RETAINER-SEAL RUBBER</t>
  </si>
  <si>
    <t>AG723000-40</t>
  </si>
  <si>
    <t>H3198-1</t>
  </si>
  <si>
    <t>PUSH BUTTON LATCH ASSY</t>
  </si>
  <si>
    <t>LEVER</t>
  </si>
  <si>
    <t>S33157-217-99C</t>
  </si>
  <si>
    <t>BACR12BM218</t>
  </si>
  <si>
    <t>P196698</t>
  </si>
  <si>
    <t>POT: - WIRE 10,000 OHMS LIN 5% (LIN</t>
  </si>
  <si>
    <t>BMS13-55T02C01G016</t>
  </si>
  <si>
    <t>BMS13-60T01C01G022</t>
  </si>
  <si>
    <t>KSC274009V</t>
  </si>
  <si>
    <t>C19347-121</t>
  </si>
  <si>
    <t>FRANGIBLE LINK ASSEMBLY</t>
  </si>
  <si>
    <t>C19347-107</t>
  </si>
  <si>
    <t>C19347-103</t>
  </si>
  <si>
    <t>CH31900-6</t>
  </si>
  <si>
    <t>IGNITER SPARK PLUG</t>
  </si>
  <si>
    <t>HELI-COIL INSERT</t>
  </si>
  <si>
    <t>BPAQ</t>
  </si>
  <si>
    <t>PIPER PA-42-720 CHEYENNE IIIA ADVANCED TRAINER LIB</t>
  </si>
  <si>
    <t>WHT10V-603</t>
  </si>
  <si>
    <t>B19167-1</t>
  </si>
  <si>
    <t>SEAT BALL</t>
  </si>
  <si>
    <t>D13567-101</t>
  </si>
  <si>
    <t>CAP,INDICATOR LIGHT</t>
  </si>
  <si>
    <t>D72D70988-111</t>
  </si>
  <si>
    <t>AHO88958</t>
  </si>
  <si>
    <t>FN922-820</t>
  </si>
  <si>
    <t>NUT, 0.500 DIA</t>
  </si>
  <si>
    <t>DISCONNECT HOSE</t>
  </si>
  <si>
    <t>FN22A820</t>
  </si>
  <si>
    <t>D72D70364-111</t>
  </si>
  <si>
    <t>C13997</t>
  </si>
  <si>
    <t>M25988/4-011</t>
  </si>
  <si>
    <t>NP165331-2</t>
  </si>
  <si>
    <t>SEAL BALL</t>
  </si>
  <si>
    <t>HOUSING MAIN</t>
  </si>
  <si>
    <t>BP2938BA02</t>
  </si>
  <si>
    <t>CVH400KA</t>
  </si>
  <si>
    <t>NAS620C10L</t>
  </si>
  <si>
    <t>Battery Replacement Kit For DK120</t>
  </si>
  <si>
    <t>BACN11N4CS</t>
  </si>
  <si>
    <t>NUT SELF</t>
  </si>
  <si>
    <t>BACP11K12</t>
  </si>
  <si>
    <t>ORING: RUBBER</t>
  </si>
  <si>
    <t>FA151025-010</t>
  </si>
  <si>
    <t>SAM280-2</t>
  </si>
  <si>
    <t>LATCH ASSY</t>
  </si>
  <si>
    <t>TIMING BUTTON-BLUE</t>
  </si>
  <si>
    <t>D72D95005-111</t>
  </si>
  <si>
    <t>LIGHT-FLOOD</t>
  </si>
  <si>
    <t>Bulb MGG1044-06</t>
  </si>
  <si>
    <t>LR00001</t>
  </si>
  <si>
    <t>DSS1020</t>
  </si>
  <si>
    <t>Master Kit, Boeing: reusable equip, 1 Kit D, 2 Kit</t>
  </si>
  <si>
    <t>RECLINE LOC</t>
  </si>
  <si>
    <t>NOZZLE HOLDER ASSY</t>
  </si>
  <si>
    <t>BOLT, MACHINE</t>
  </si>
  <si>
    <t>DISC</t>
  </si>
  <si>
    <t>LAMP(OSHINO BRAND)</t>
  </si>
  <si>
    <t>D72D70044-111</t>
  </si>
  <si>
    <t>FDC6400-518-014</t>
  </si>
  <si>
    <t>SAFT BELT</t>
  </si>
  <si>
    <t>SEAL KIT</t>
  </si>
  <si>
    <t>BV03112N-03-40</t>
  </si>
  <si>
    <t>HOLDER-LAMP</t>
  </si>
  <si>
    <t>BELT TENSI</t>
  </si>
  <si>
    <t>VP110</t>
  </si>
  <si>
    <t>SCD510-53-1</t>
  </si>
  <si>
    <t>B9985-1</t>
  </si>
  <si>
    <t>GUARD</t>
  </si>
  <si>
    <t>MS20995NC32</t>
  </si>
  <si>
    <t>KIT, SEAL REPLACEMENT</t>
  </si>
  <si>
    <t>MS51964-43</t>
  </si>
  <si>
    <t>COVER-ROD DBS</t>
  </si>
  <si>
    <t>G-241</t>
  </si>
  <si>
    <t>VENTED LEAD-ACID BATTERY</t>
  </si>
  <si>
    <t>G-243</t>
  </si>
  <si>
    <t>GILL BATTERY</t>
  </si>
  <si>
    <t>G35</t>
  </si>
  <si>
    <t>GILL BATTERIE</t>
  </si>
  <si>
    <t>MASK-OXYGEN,PASSENGER</t>
  </si>
  <si>
    <t>GASKET SPPL</t>
  </si>
  <si>
    <t>ABS5800B016B</t>
  </si>
  <si>
    <t>ABS5800B024B</t>
  </si>
  <si>
    <t>CA01962B</t>
  </si>
  <si>
    <t>MS16633-4037</t>
  </si>
  <si>
    <t>MS20995N32</t>
  </si>
  <si>
    <t>Safety wire</t>
  </si>
  <si>
    <t>MS29513-229</t>
  </si>
  <si>
    <t>MS9556-18</t>
  </si>
  <si>
    <t>NAS1791C3-1</t>
  </si>
  <si>
    <t>NAS1805-3P</t>
  </si>
  <si>
    <t>NSA55131-005</t>
  </si>
  <si>
    <t>NSA8207-4</t>
  </si>
  <si>
    <t>S3225-906</t>
  </si>
  <si>
    <t>S700M0986</t>
  </si>
  <si>
    <t>F045WWBCAC</t>
  </si>
  <si>
    <t>M83461/2-912</t>
  </si>
  <si>
    <t>M83485-1-907</t>
  </si>
  <si>
    <t>M83485-1-118</t>
  </si>
  <si>
    <t>COMPRESSOR MOTOR</t>
  </si>
  <si>
    <t>ST6202-908</t>
  </si>
  <si>
    <t>WHEEL ASY MLG</t>
  </si>
  <si>
    <t>FILTER ELEMENT</t>
  </si>
  <si>
    <t>ST3968-01</t>
  </si>
  <si>
    <t>ST3967-01</t>
  </si>
  <si>
    <t>M83485-1-134</t>
  </si>
  <si>
    <t>M83485-1-139</t>
  </si>
  <si>
    <t>M83485-1-036</t>
  </si>
  <si>
    <t>STRAINER</t>
  </si>
  <si>
    <t>CBS24</t>
  </si>
  <si>
    <t>EMR INST BATTERY</t>
  </si>
  <si>
    <t>ST3477-20</t>
  </si>
  <si>
    <t>ST6202-008</t>
  </si>
  <si>
    <t>ST3318-01</t>
  </si>
  <si>
    <t>WASH KEY</t>
  </si>
  <si>
    <t>ST6202-014</t>
  </si>
  <si>
    <t>ST6202-012</t>
  </si>
  <si>
    <t>ST3740-01</t>
  </si>
  <si>
    <t>ST6202-903</t>
  </si>
  <si>
    <t>ST3970-03</t>
  </si>
  <si>
    <t>CARBON SEAL</t>
  </si>
  <si>
    <t>ST3804-01</t>
  </si>
  <si>
    <t>ST3805-01</t>
  </si>
  <si>
    <t>STRAP-TIE,CABLE</t>
  </si>
  <si>
    <t>S2899L3.0</t>
  </si>
  <si>
    <t>ST3382-11</t>
  </si>
  <si>
    <t>S2899L1.0</t>
  </si>
  <si>
    <t>S2899L2.0</t>
  </si>
  <si>
    <t>S2899L5.0</t>
  </si>
  <si>
    <t>SWITCH NOSE GEAR</t>
  </si>
  <si>
    <t>ST3674-02</t>
  </si>
  <si>
    <t>STRAINER OIL</t>
  </si>
  <si>
    <t>S2899L10.0</t>
  </si>
  <si>
    <t>M83485-1-155</t>
  </si>
  <si>
    <t>ST3966-02</t>
  </si>
  <si>
    <t>MS24665-231</t>
  </si>
  <si>
    <t>M83461/1-110</t>
  </si>
  <si>
    <t>MS29512-04</t>
  </si>
  <si>
    <t>M83461/2-904</t>
  </si>
  <si>
    <t>M83461/1-112</t>
  </si>
  <si>
    <t>M83461/1-118</t>
  </si>
  <si>
    <t>AS3209-113</t>
  </si>
  <si>
    <t>M83485-1-010</t>
  </si>
  <si>
    <t>MS9245-28</t>
  </si>
  <si>
    <t>MS9489-04</t>
  </si>
  <si>
    <t>NAS1611-014</t>
  </si>
  <si>
    <t>M83485-1-014</t>
  </si>
  <si>
    <t>M83485-1-013</t>
  </si>
  <si>
    <t>M83485-1-016</t>
  </si>
  <si>
    <t>M83485-1-109</t>
  </si>
  <si>
    <t>M83485-1-113</t>
  </si>
  <si>
    <t>M83485-1-114</t>
  </si>
  <si>
    <t>MS9058-04</t>
  </si>
  <si>
    <t>M83485-1-116</t>
  </si>
  <si>
    <t>M83485-1-120</t>
  </si>
  <si>
    <t>M83485-1-121</t>
  </si>
  <si>
    <t>MS27039C1-08</t>
  </si>
  <si>
    <t>MS16625-4062</t>
  </si>
  <si>
    <t>M83485-1-212</t>
  </si>
  <si>
    <t>M83485-1-130</t>
  </si>
  <si>
    <t>MS16625-4031</t>
  </si>
  <si>
    <t>M83485-1-214</t>
  </si>
  <si>
    <t>M83485-1-135</t>
  </si>
  <si>
    <t>AN6237-1</t>
  </si>
  <si>
    <t>FILTER FUEL</t>
  </si>
  <si>
    <t>M83485-1-154</t>
  </si>
  <si>
    <t>AS3217-152</t>
  </si>
  <si>
    <t>AS3209-008</t>
  </si>
  <si>
    <t>WHEEL HUB</t>
  </si>
  <si>
    <t>S3348-12-20</t>
  </si>
  <si>
    <t>PWC68936</t>
  </si>
  <si>
    <t>SPECIAL SOCKET</t>
  </si>
  <si>
    <t>PWC66653</t>
  </si>
  <si>
    <t>PWC69812</t>
  </si>
  <si>
    <t>PWC69836</t>
  </si>
  <si>
    <t>COMPRESSOR WASH</t>
  </si>
  <si>
    <t>PWC66581</t>
  </si>
  <si>
    <t>FAN BLADE</t>
  </si>
  <si>
    <t>PWC90058</t>
  </si>
  <si>
    <t>TEST BOX-MAIN GEAR</t>
  </si>
  <si>
    <t>M83485-1-012</t>
  </si>
  <si>
    <t>MS9058-08</t>
  </si>
  <si>
    <t>LINER CENTER</t>
  </si>
  <si>
    <t>FB024-830</t>
  </si>
  <si>
    <t>LINK-UPPER BACK</t>
  </si>
  <si>
    <t>AN5CH24A</t>
  </si>
  <si>
    <t>MS28775-439</t>
  </si>
  <si>
    <t>MS28774-439</t>
  </si>
  <si>
    <t>R8KDA800402</t>
  </si>
  <si>
    <t>COVER, MAINT TEST</t>
  </si>
  <si>
    <t>BOARD, CPU</t>
  </si>
  <si>
    <t>HFE07-110</t>
  </si>
  <si>
    <t>BOARD, POWER</t>
  </si>
  <si>
    <t>HFE07-112</t>
  </si>
  <si>
    <t>HFE20D-GC64</t>
  </si>
  <si>
    <t>HFE20D-GC65</t>
  </si>
  <si>
    <t>HFE20D-GC66</t>
  </si>
  <si>
    <t>HFE07-42</t>
  </si>
  <si>
    <t>HFEDNS</t>
  </si>
  <si>
    <t>PROCESSOR 8 BIT OPT</t>
  </si>
  <si>
    <t>HFN318</t>
  </si>
  <si>
    <t>NKI9/12</t>
  </si>
  <si>
    <t>BEARING BALL</t>
  </si>
  <si>
    <t>HTE7300N31-027</t>
  </si>
  <si>
    <t>M25988-1-151</t>
  </si>
  <si>
    <t>LAMP HOLDER WITHOUT PUSH BUTTON</t>
  </si>
  <si>
    <t>LAMP HOLDER WITH PUSH BUTTON</t>
  </si>
  <si>
    <t>FASTENER QUICK</t>
  </si>
  <si>
    <t>SCD390-3-1</t>
  </si>
  <si>
    <t>BATT PACK</t>
  </si>
  <si>
    <t>COVER GASKET</t>
  </si>
  <si>
    <t>NSA8203-016</t>
  </si>
  <si>
    <t>QB0776</t>
  </si>
  <si>
    <t>S3225-905</t>
  </si>
  <si>
    <t>RYT-4</t>
  </si>
  <si>
    <t>SPHERICAL BEARING</t>
  </si>
  <si>
    <t>CONNECOTR</t>
  </si>
  <si>
    <t>KRP178905VT</t>
  </si>
  <si>
    <t>BACB30JC8A10</t>
  </si>
  <si>
    <t>TRIM AY</t>
  </si>
  <si>
    <t>CS-204-04</t>
  </si>
  <si>
    <t>COOLING FAN</t>
  </si>
  <si>
    <t>MOD KIT COOLING</t>
  </si>
  <si>
    <t>BD/ASSY:MEMORY DAUGHTER</t>
  </si>
  <si>
    <t>JANTX1N6156A</t>
  </si>
  <si>
    <t>AERATOR</t>
  </si>
  <si>
    <t>Q4591</t>
  </si>
  <si>
    <t>Quartz Par 36 Lamp, 28V, 100W Landing</t>
  </si>
  <si>
    <t>LOCKWSHR</t>
  </si>
  <si>
    <t>DA10755</t>
  </si>
  <si>
    <t>PLATE SEAL</t>
  </si>
  <si>
    <t>BMS13-48T10C1G20</t>
  </si>
  <si>
    <t>BACB10GB05G</t>
  </si>
  <si>
    <t>SPRING EXTENSION</t>
  </si>
  <si>
    <t>AML76C10T01P</t>
  </si>
  <si>
    <t>AQL5729</t>
  </si>
  <si>
    <t>BUSHING-BACK PIVOT</t>
  </si>
  <si>
    <t>RGS2219</t>
  </si>
  <si>
    <t>BUMPER</t>
  </si>
  <si>
    <t>QA06422</t>
  </si>
  <si>
    <t>Element</t>
  </si>
  <si>
    <t>NSA5722-00</t>
  </si>
  <si>
    <t>NAS1726C4</t>
  </si>
  <si>
    <t>MS9556-06</t>
  </si>
  <si>
    <t>NAS1523AA4N</t>
  </si>
  <si>
    <t>WATER POUCH</t>
  </si>
  <si>
    <t>FIRST AID KIT</t>
  </si>
  <si>
    <t>PLUVGASSY</t>
  </si>
  <si>
    <t>AC1524</t>
  </si>
  <si>
    <t>THYRISTOP</t>
  </si>
  <si>
    <t>HEILI-COIL TAP</t>
  </si>
  <si>
    <t>HEILI-LOIL BOTTOMING TAP</t>
  </si>
  <si>
    <t>PCM-CR-U2EX-LF</t>
  </si>
  <si>
    <t>PCM CARD DRIVER</t>
  </si>
  <si>
    <t>BACW10EC08CN</t>
  </si>
  <si>
    <t>M2512</t>
  </si>
  <si>
    <t>HARNESS (R.H.)</t>
  </si>
  <si>
    <t>M2513</t>
  </si>
  <si>
    <t>HARNESS (L.H.)</t>
  </si>
  <si>
    <t>FINAL ASSY</t>
  </si>
  <si>
    <t>FILTER COLOR CORRECTN - 61/BL: 0.43</t>
  </si>
  <si>
    <t>FILTER COLOR CORRECTN - 87/GRN: 0.4</t>
  </si>
  <si>
    <t>FILTER COLOR CORRECTN - 70/BL: 0.42</t>
  </si>
  <si>
    <t>BACC45FT8-2S</t>
  </si>
  <si>
    <t>FASTNER, PUSH-IN</t>
  </si>
  <si>
    <t>Q4559X(GE)</t>
  </si>
  <si>
    <t>LAMP(GE BRAND)</t>
  </si>
  <si>
    <t>N40-1A20000-100</t>
  </si>
  <si>
    <t>MS24693C26</t>
  </si>
  <si>
    <t>HME/HMEC 46</t>
  </si>
  <si>
    <t>PIN-LOCKING</t>
  </si>
  <si>
    <t>MS29513-023</t>
  </si>
  <si>
    <t>POPPET ASSY</t>
  </si>
  <si>
    <t>LAMP (GE BRAND)</t>
  </si>
  <si>
    <t>GM7208</t>
  </si>
  <si>
    <t>FRONT PLASTIC ASSY</t>
  </si>
  <si>
    <t>AN5-37A</t>
  </si>
  <si>
    <t>RIPS TYPE III LI BATTERY</t>
  </si>
  <si>
    <t>NAS6604-46</t>
  </si>
  <si>
    <t>BATTERY PACK ASSEMBLY</t>
  </si>
  <si>
    <t>BACS22A23</t>
  </si>
  <si>
    <t>INVERTER(PN 1-001-0102-0458 )</t>
  </si>
  <si>
    <t>NoiseGard-headset, closed, no cable, mic. with 60m</t>
  </si>
  <si>
    <t>-999-22G1</t>
  </si>
  <si>
    <t>cable for active headset, XLR-5, +6 dB SPL, batter</t>
  </si>
  <si>
    <t>TRANSIST</t>
  </si>
  <si>
    <t>S9026P020</t>
  </si>
  <si>
    <t>HV25000-04</t>
  </si>
  <si>
    <t>HYDROLOCK</t>
  </si>
  <si>
    <t>SOCKET</t>
  </si>
  <si>
    <t>BLOCK CONNECTOR</t>
  </si>
  <si>
    <t>BULB SEAL</t>
  </si>
  <si>
    <t>BVO3112N-03-40</t>
  </si>
  <si>
    <t>BACB30YN14K10Y</t>
  </si>
  <si>
    <t>BACN11AK7KY</t>
  </si>
  <si>
    <t>ARM5475-1</t>
  </si>
  <si>
    <t>ARM5476-1</t>
  </si>
  <si>
    <t>HARDWARE KIT</t>
  </si>
  <si>
    <t>connecting rod cover assy</t>
  </si>
  <si>
    <t>REDUCER BODY</t>
  </si>
  <si>
    <t>B94750-116H005N</t>
  </si>
  <si>
    <t>SHROUD STD AY</t>
  </si>
  <si>
    <t>BACN10JD105</t>
  </si>
  <si>
    <t>BMS13-60T01C01G018</t>
  </si>
  <si>
    <t>BACB30NX10K7X</t>
  </si>
  <si>
    <t>BACW10P391AA</t>
  </si>
  <si>
    <t>WASHER F</t>
  </si>
  <si>
    <t>EXTRACTOR</t>
  </si>
  <si>
    <t>FA151026-007</t>
  </si>
  <si>
    <t>QA07168</t>
  </si>
  <si>
    <t>ELP362D</t>
  </si>
  <si>
    <t>BEACON</t>
  </si>
  <si>
    <t>LAMP,LANDING LIGHT</t>
  </si>
  <si>
    <t>M22759/34-22-0</t>
  </si>
  <si>
    <t>M22759/34-22-1</t>
  </si>
  <si>
    <t>M22759/34-22-2</t>
  </si>
  <si>
    <t>M22759/34-22-3</t>
  </si>
  <si>
    <t>M22759/34-22-5</t>
  </si>
  <si>
    <t>M22759/34-22-6</t>
  </si>
  <si>
    <t>MS21076L4E</t>
  </si>
  <si>
    <t>MS21076L3N</t>
  </si>
  <si>
    <t>CL2739-11</t>
  </si>
  <si>
    <t>COUPLEX ASSY</t>
  </si>
  <si>
    <t>TUBE INNER ASSY</t>
  </si>
  <si>
    <t>DOG LOCKING</t>
  </si>
  <si>
    <t>AM3482-1-1</t>
  </si>
  <si>
    <t>FITTING ASSY</t>
  </si>
  <si>
    <t>UNIVERSAL ASSY</t>
  </si>
  <si>
    <t>SAM271-5</t>
  </si>
  <si>
    <t>RING, BACKUP</t>
  </si>
  <si>
    <t>DAS2062-145</t>
  </si>
  <si>
    <t>DAS2062-147</t>
  </si>
  <si>
    <t>ELT</t>
  </si>
  <si>
    <t>RING, RETAINING</t>
  </si>
  <si>
    <t>BVO3302-01-100</t>
  </si>
  <si>
    <t>BACJ40AB20-6</t>
  </si>
  <si>
    <t>JUMPER</t>
  </si>
  <si>
    <t>BACR12BD112NA</t>
  </si>
  <si>
    <t>CAP ASSY</t>
  </si>
  <si>
    <t>BACR12BM240</t>
  </si>
  <si>
    <t>RING, BACK-UP, PTFE</t>
  </si>
  <si>
    <t>HARNESS,ELECT. 747</t>
  </si>
  <si>
    <t>AS20625</t>
  </si>
  <si>
    <t>AS27832</t>
  </si>
  <si>
    <t>CABIN AIR FILTER</t>
  </si>
  <si>
    <t>SEAT AND FILTER</t>
  </si>
  <si>
    <t>T4-TMJ3312</t>
  </si>
  <si>
    <t>ASNA2879A040</t>
  </si>
  <si>
    <t>P199753</t>
  </si>
  <si>
    <t>PIN SLIDIN</t>
  </si>
  <si>
    <t>CARTRIDGE ASSEMBLY</t>
  </si>
  <si>
    <t>BEZEL</t>
  </si>
  <si>
    <t>J221P906</t>
  </si>
  <si>
    <t>BACB30XD3K5</t>
  </si>
  <si>
    <t>BACB30XD3K7</t>
  </si>
  <si>
    <t>BACB30XD3K10</t>
  </si>
  <si>
    <t>A208-319</t>
  </si>
  <si>
    <t>INDUCTOR,OUTPUT</t>
  </si>
  <si>
    <t>LM139J883</t>
  </si>
  <si>
    <t>SK500 G3-B</t>
  </si>
  <si>
    <t>Wireless Microphone - Bodypack transmitter</t>
  </si>
  <si>
    <t>SK500 G3-D</t>
  </si>
  <si>
    <t>BACR13CG2AB</t>
  </si>
  <si>
    <t>REALY</t>
  </si>
  <si>
    <t>BACS12CK06H6</t>
  </si>
  <si>
    <t>BACW10BP10ACU</t>
  </si>
  <si>
    <t>BACW10BP14ACU</t>
  </si>
  <si>
    <t>BACW10X2</t>
  </si>
  <si>
    <t>BOE2143-0009</t>
  </si>
  <si>
    <t>CA18377</t>
  </si>
  <si>
    <t>CR3222-4-02</t>
  </si>
  <si>
    <t>CR3524-6-03</t>
  </si>
  <si>
    <t>D72D70043-111</t>
  </si>
  <si>
    <t>HW41-3</t>
  </si>
  <si>
    <t>J522P52</t>
  </si>
  <si>
    <t>REDUCER</t>
  </si>
  <si>
    <t>M25988-1-019</t>
  </si>
  <si>
    <t>M39029-1-102</t>
  </si>
  <si>
    <t>CONTACT,ELECRIC</t>
  </si>
  <si>
    <t>M83248-1-214</t>
  </si>
  <si>
    <t>M83248-1-907</t>
  </si>
  <si>
    <t>MS20253P4-1000L</t>
  </si>
  <si>
    <t>MS20601AD4W4</t>
  </si>
  <si>
    <t>RIVET, BLIND</t>
  </si>
  <si>
    <t>MS27980-17N</t>
  </si>
  <si>
    <t>FASTENER, SNAP</t>
  </si>
  <si>
    <t>MS28889-2</t>
  </si>
  <si>
    <t>MS29513-114</t>
  </si>
  <si>
    <t>MS51865-6</t>
  </si>
  <si>
    <t>NAS1149E0332R</t>
  </si>
  <si>
    <t>NAS600-8P</t>
  </si>
  <si>
    <t>S8990-011</t>
  </si>
  <si>
    <t>NAS6704H5</t>
  </si>
  <si>
    <t>PIN-PIVOT</t>
  </si>
  <si>
    <t>ROD BACK PI</t>
  </si>
  <si>
    <t>AN565C8H6</t>
  </si>
  <si>
    <t>SCREW, SET</t>
  </si>
  <si>
    <t>AS1895-7-325</t>
  </si>
  <si>
    <t>TRIGGER</t>
  </si>
  <si>
    <t>MEMORY</t>
  </si>
  <si>
    <t>FLASH LAMP ASSY</t>
  </si>
  <si>
    <t>S67-1575-133</t>
  </si>
  <si>
    <t>HORN ASSY APU</t>
  </si>
  <si>
    <t>WASTE CHUTE ASSY</t>
  </si>
  <si>
    <t>KDAE4F</t>
  </si>
  <si>
    <t>PAWL</t>
  </si>
  <si>
    <t>AM3312-1-29</t>
  </si>
  <si>
    <t>TRIGGER INNER MACH</t>
  </si>
  <si>
    <t>S408</t>
  </si>
  <si>
    <t>AM3335-4-4</t>
  </si>
  <si>
    <t>NIPPLE</t>
  </si>
  <si>
    <t>STRAP GUIDE - LOWER</t>
  </si>
  <si>
    <t>WHEEL-HAND UP/ DOWN</t>
  </si>
  <si>
    <t>AS5169J06</t>
  </si>
  <si>
    <t>BACB30LH3-5</t>
  </si>
  <si>
    <t>BACB30LK4U1</t>
  </si>
  <si>
    <t>BACB30MB6A3U</t>
  </si>
  <si>
    <t>BACB30VF3K7</t>
  </si>
  <si>
    <t>BACC10DU250ABE</t>
  </si>
  <si>
    <t>BACN10KE3DCD</t>
  </si>
  <si>
    <t>LUCKNUT</t>
  </si>
  <si>
    <t>BACN10KE3E2CD</t>
  </si>
  <si>
    <t>BACN10YD1</t>
  </si>
  <si>
    <t>BACN10YF32CD</t>
  </si>
  <si>
    <t>BACN11G3B3CD</t>
  </si>
  <si>
    <t>BACN11G3B2CD</t>
  </si>
  <si>
    <t>MS20470AD6-8</t>
  </si>
  <si>
    <t>MS20470AD8-8</t>
  </si>
  <si>
    <t>MS20426AD6-8</t>
  </si>
  <si>
    <t>MS20426AD8-8</t>
  </si>
  <si>
    <t>NAS1398D5A6</t>
  </si>
  <si>
    <t>PRINTED WIRING</t>
  </si>
  <si>
    <t>HOUSING ASSY</t>
  </si>
  <si>
    <t>D72W59400-111C</t>
  </si>
  <si>
    <t>REPAIR KIT-SEAT &amp; COVER ASSY(DG ITEM)</t>
  </si>
  <si>
    <t>ELASTIC CORD</t>
  </si>
  <si>
    <t>FB024841</t>
  </si>
  <si>
    <t>WL1317</t>
  </si>
  <si>
    <t>HINGE</t>
  </si>
  <si>
    <t>STOW ASSY</t>
  </si>
  <si>
    <t>MS27039-0808</t>
  </si>
  <si>
    <t>MS27039-0810</t>
  </si>
  <si>
    <t>BACS21ED13R</t>
  </si>
  <si>
    <t>NAS1149D0632J</t>
  </si>
  <si>
    <t>WASHER, FLAT</t>
  </si>
  <si>
    <t>BUSHING BAC</t>
  </si>
  <si>
    <t>M83248-1-146</t>
  </si>
  <si>
    <t>M22759/11-22-7</t>
  </si>
  <si>
    <t>SCD, TP4840 POWER SUPPLY</t>
  </si>
  <si>
    <t>CA-154-2</t>
  </si>
  <si>
    <t>BAG</t>
  </si>
  <si>
    <t>BD6</t>
  </si>
  <si>
    <t>LYCOMING</t>
  </si>
  <si>
    <t>LIGHT COVER</t>
  </si>
  <si>
    <t>M15098-11-001</t>
  </si>
  <si>
    <t>MISC3201</t>
  </si>
  <si>
    <t>NET ASSY</t>
  </si>
  <si>
    <t>FITTING-ADUSTABLE</t>
  </si>
  <si>
    <t>BACR15GA6-11</t>
  </si>
  <si>
    <t>D38999/20FD5PN</t>
  </si>
  <si>
    <t>AE713733-1</t>
  </si>
  <si>
    <t>M1500P0203-02</t>
  </si>
  <si>
    <t>KAD9F005</t>
  </si>
  <si>
    <t>SAM214-22</t>
  </si>
  <si>
    <t>RECEPTACLE BOX ASSY</t>
  </si>
  <si>
    <t>BAC29PPS49021</t>
  </si>
  <si>
    <t>BUSHING-SEAT PAN</t>
  </si>
  <si>
    <t>KNOB - RELEASE</t>
  </si>
  <si>
    <t>MICRO TEMP 184 C</t>
  </si>
  <si>
    <t>BACB30NX8K23</t>
  </si>
  <si>
    <t>BACJ40AC54-9</t>
  </si>
  <si>
    <t>BACN10JD105CD</t>
  </si>
  <si>
    <t>BACR15BB5D6C</t>
  </si>
  <si>
    <t>BACR15GA5-5</t>
  </si>
  <si>
    <t>BACR15GA5-6</t>
  </si>
  <si>
    <t>C23102-343-101</t>
  </si>
  <si>
    <t>CR3222-5-04</t>
  </si>
  <si>
    <t>CR3222-5-05</t>
  </si>
  <si>
    <t>H502-1-125-250</t>
  </si>
  <si>
    <t>TRIGGER LOCK</t>
  </si>
  <si>
    <t>BACB29B13S2</t>
  </si>
  <si>
    <t>STUDE CHAIN</t>
  </si>
  <si>
    <t>BACB29B13S3</t>
  </si>
  <si>
    <t>BACB29B13S4</t>
  </si>
  <si>
    <t>BACB29B13S5</t>
  </si>
  <si>
    <t>BACB29B13S6</t>
  </si>
  <si>
    <t>BACB29B13S7</t>
  </si>
  <si>
    <t>ATA-SU002GIAU</t>
  </si>
  <si>
    <t>PCMCIA CARD</t>
  </si>
  <si>
    <t>OL327AS15-297</t>
  </si>
  <si>
    <t>MS15795-804</t>
  </si>
  <si>
    <t>WAHER</t>
  </si>
  <si>
    <t>A7098A</t>
  </si>
  <si>
    <t>MASTERCHARGER</t>
  </si>
  <si>
    <t>BACN10YR08C</t>
  </si>
  <si>
    <t>MS20470D3-5</t>
  </si>
  <si>
    <t>RIVET, SOLID</t>
  </si>
  <si>
    <t>PORTABILITY STUD ASSEMBLY</t>
  </si>
  <si>
    <t>NAS1102-04-4</t>
  </si>
  <si>
    <t>NAS1102-04-5</t>
  </si>
  <si>
    <t>MS27418-2A</t>
  </si>
  <si>
    <t>A1240885</t>
  </si>
  <si>
    <t>RESISTOR, FIXED.</t>
  </si>
  <si>
    <t>NAS1611-115</t>
  </si>
  <si>
    <t>BACS38W2</t>
  </si>
  <si>
    <t>TIE STRAP</t>
  </si>
  <si>
    <t>MS27488-20-1</t>
  </si>
  <si>
    <t>NAS1801-3-16</t>
  </si>
  <si>
    <t>LN65045-08</t>
  </si>
  <si>
    <t>MS16998-30L</t>
  </si>
  <si>
    <t>AG723000-02</t>
  </si>
  <si>
    <t>GASKET, RADIO ALT</t>
  </si>
  <si>
    <t>BACB28AK05-027</t>
  </si>
  <si>
    <t>BACB29B7S3</t>
  </si>
  <si>
    <t>BUS BAR</t>
  </si>
  <si>
    <t>BACB30LK4U2</t>
  </si>
  <si>
    <t>BACB30MY6K8</t>
  </si>
  <si>
    <t>BACB30NR4K9</t>
  </si>
  <si>
    <t>BACB30NW5K3</t>
  </si>
  <si>
    <t>BACB30NW6K3Y</t>
  </si>
  <si>
    <t>BACN11G4A1CD</t>
  </si>
  <si>
    <t>WIRING HARNESS,LAMP</t>
  </si>
  <si>
    <t>M990000001</t>
  </si>
  <si>
    <t>NAS1096-3-7</t>
  </si>
  <si>
    <t>TAPE 2"</t>
  </si>
  <si>
    <t>BACN11G3A2CD</t>
  </si>
  <si>
    <t>ATTACH BRACKET</t>
  </si>
  <si>
    <t>LENS, ASSEMBLY</t>
  </si>
  <si>
    <t>WEDGE</t>
  </si>
  <si>
    <t>ADAPTOR CABLE PJ (FEMALE) TO XLR-5 (MALE)</t>
  </si>
  <si>
    <t>A1211427</t>
  </si>
  <si>
    <t>R6HR1529ZA</t>
  </si>
  <si>
    <t>BLOCK, FIXTURE</t>
  </si>
  <si>
    <t>MS24656-231</t>
  </si>
  <si>
    <t>CROTCH STRAP</t>
  </si>
  <si>
    <t>DEVICE</t>
  </si>
  <si>
    <t>SHILDERER</t>
  </si>
  <si>
    <t>SUNSHADE</t>
  </si>
  <si>
    <t>EXPANDER</t>
  </si>
  <si>
    <t>SB92001-25-01</t>
  </si>
  <si>
    <t>KIT, LIFT OUTPUT SHAFT</t>
  </si>
  <si>
    <t>GEAR, IDLER,DRIVE</t>
  </si>
  <si>
    <t>NAS514P1032-14</t>
  </si>
  <si>
    <t>MS24693S30</t>
  </si>
  <si>
    <t>BACC18AD2</t>
  </si>
  <si>
    <t>AH089383</t>
  </si>
  <si>
    <t>AS1591-06-0570A</t>
  </si>
  <si>
    <t>KSR167306BK</t>
  </si>
  <si>
    <t>EN110589-01</t>
  </si>
  <si>
    <t>SEALING KIT, CONNECTOR</t>
  </si>
  <si>
    <t>BACB30VF3K6</t>
  </si>
  <si>
    <t>SOCKET ASSY</t>
  </si>
  <si>
    <t>D72D93002-111</t>
  </si>
  <si>
    <t>FB016841</t>
  </si>
  <si>
    <t>LE292-1D376</t>
  </si>
  <si>
    <t>ESCUTCHEON</t>
  </si>
  <si>
    <t>ELECT.ASSY.PDU,SELF-LIFT</t>
  </si>
  <si>
    <t>E0468-01</t>
  </si>
  <si>
    <t>SEAL PLAIN</t>
  </si>
  <si>
    <t>GM9558-1</t>
  </si>
  <si>
    <t>R.V.D.T</t>
  </si>
  <si>
    <t>DSR1049-2</t>
  </si>
  <si>
    <t>H3-1461-2</t>
  </si>
  <si>
    <t>STOP, DOOR</t>
  </si>
  <si>
    <t>CMV1-650-0205</t>
  </si>
  <si>
    <t>JHN1242</t>
  </si>
  <si>
    <t>NAS1304-7H</t>
  </si>
  <si>
    <t>MS27196-24</t>
  </si>
  <si>
    <t>NAS1612-6</t>
  </si>
  <si>
    <t>M81714/2-DE1</t>
  </si>
  <si>
    <t>TERMINAL JUNCTION</t>
  </si>
  <si>
    <t>PIN ASSEMBLY</t>
  </si>
  <si>
    <t>SPRING ANCHOR SHAFT</t>
  </si>
  <si>
    <t>LENS,SENSOR</t>
  </si>
  <si>
    <t>BOLT,MOUNT.,ANTI-ROTATION</t>
  </si>
  <si>
    <t>RETAINER SEAL</t>
  </si>
  <si>
    <t>NAS6608-54</t>
  </si>
  <si>
    <t>NoiseGard-headset, +6 dB SPL, closed, mic. With 60</t>
  </si>
  <si>
    <t>SPIGOT ASSY</t>
  </si>
  <si>
    <t>AXM2323685</t>
  </si>
  <si>
    <t>GUIDE,PAPER</t>
  </si>
  <si>
    <t>B19007-1</t>
  </si>
  <si>
    <t>BUSHING, FLANGED</t>
  </si>
  <si>
    <t>B14252-1</t>
  </si>
  <si>
    <t>SCREW, ADJUSTING</t>
  </si>
  <si>
    <t>ANNUNCIATOR LIGHT ASSY</t>
  </si>
  <si>
    <t>CABLE-BV-CP-2</t>
  </si>
  <si>
    <t>cable for active headset</t>
  </si>
  <si>
    <t>ULTRALOC</t>
  </si>
  <si>
    <t>RESTRAINT SYSTEM ASSY</t>
  </si>
  <si>
    <t>RESTRAINT</t>
  </si>
  <si>
    <t>MIC</t>
  </si>
  <si>
    <t>J-D2A</t>
  </si>
  <si>
    <t>NAS1352C04-10</t>
  </si>
  <si>
    <t>NAS6203-5</t>
  </si>
  <si>
    <t>NAS6203-15</t>
  </si>
  <si>
    <t>NAS6204-11</t>
  </si>
  <si>
    <t>NAS6204-13</t>
  </si>
  <si>
    <t>NAS6204-15</t>
  </si>
  <si>
    <t>NAS6204-20</t>
  </si>
  <si>
    <t>NAS6204-27</t>
  </si>
  <si>
    <t>NAS6206-15</t>
  </si>
  <si>
    <t>NAS6206-18</t>
  </si>
  <si>
    <t>NAS6206-26</t>
  </si>
  <si>
    <t>MS35649-202</t>
  </si>
  <si>
    <t>NUT CAP</t>
  </si>
  <si>
    <t>MS35649-2252</t>
  </si>
  <si>
    <t>MS35649-2382</t>
  </si>
  <si>
    <t>MS20392-3C25</t>
  </si>
  <si>
    <t>S9026T230</t>
  </si>
  <si>
    <t>RSE1133</t>
  </si>
  <si>
    <t>HANDLING SLING</t>
  </si>
  <si>
    <t>GUIDE TUBE</t>
  </si>
  <si>
    <t>ADAPTER PULLER</t>
  </si>
  <si>
    <t>B0E2143-0020</t>
  </si>
  <si>
    <t>FRICTION RING</t>
  </si>
  <si>
    <t>ELT TRANSMITTER AND BATTERY</t>
  </si>
  <si>
    <t>EARSEALS</t>
  </si>
  <si>
    <t>NoiseGard-headset, open, XLR-5 connector, panel po</t>
  </si>
  <si>
    <t>INSTALLATION TOOL</t>
  </si>
  <si>
    <t>BREAK OFF TOOL</t>
  </si>
  <si>
    <t>FE392026201</t>
  </si>
  <si>
    <t>BELLOWS</t>
  </si>
  <si>
    <t>A1-18-1030</t>
  </si>
  <si>
    <t>FLASHLIGHT SHIELD</t>
  </si>
  <si>
    <t>B7040-2</t>
  </si>
  <si>
    <t>P2-07-0021-002</t>
  </si>
  <si>
    <t>AR4714-11</t>
  </si>
  <si>
    <t>ELECTRIC STRIKE</t>
  </si>
  <si>
    <t>SEAL (BONDED)</t>
  </si>
  <si>
    <t>KJ188-13</t>
  </si>
  <si>
    <t>MS21353-331</t>
  </si>
  <si>
    <t>NAS1611-006A</t>
  </si>
  <si>
    <t>S906-10136-252</t>
  </si>
  <si>
    <t>BTAS16</t>
  </si>
  <si>
    <t>C25177-1</t>
  </si>
  <si>
    <t>Maintenance Release Record</t>
  </si>
  <si>
    <t>gear</t>
  </si>
  <si>
    <t>B25171-9</t>
  </si>
  <si>
    <t>Card??Expiration</t>
  </si>
  <si>
    <t>MAKS0404A</t>
  </si>
  <si>
    <t>ABSORBER</t>
  </si>
  <si>
    <t>BP247-A1G2</t>
  </si>
  <si>
    <t>BACC63BP16D24SN</t>
  </si>
  <si>
    <t>PLUNGER, BALL</t>
  </si>
  <si>
    <t>BUTTON, ACTUATION</t>
  </si>
  <si>
    <t>E16216AC</t>
  </si>
  <si>
    <t>OPTICAL ENCODER</t>
  </si>
  <si>
    <t>SK2003-42A</t>
  </si>
  <si>
    <t>FLUTUBE</t>
  </si>
  <si>
    <t>ES929-9</t>
  </si>
  <si>
    <t>PS6-64002-013</t>
  </si>
  <si>
    <t>HARNESS, SJB</t>
  </si>
  <si>
    <t>M83536/33-005L</t>
  </si>
  <si>
    <t>MS27595-009</t>
  </si>
  <si>
    <t>RING WEAR</t>
  </si>
  <si>
    <t>MS28775-214</t>
  </si>
  <si>
    <t>packing</t>
  </si>
  <si>
    <t>P2-07-0020-002</t>
  </si>
  <si>
    <t>Flashlight</t>
  </si>
  <si>
    <t>MS27473T18A53P</t>
  </si>
  <si>
    <t>MS27506A18-2</t>
  </si>
  <si>
    <t>MS24266R18B31P</t>
  </si>
  <si>
    <t>JT01RE18-53S-SR</t>
  </si>
  <si>
    <t>MS27291-5</t>
  </si>
  <si>
    <t>G881879</t>
  </si>
  <si>
    <t>STRIP FELT</t>
  </si>
  <si>
    <t>NAS1081-3D4L</t>
  </si>
  <si>
    <t>T-SEAL ASSY</t>
  </si>
  <si>
    <t>KNOB 0.500 CBORE - GRY705: CBORE 0.</t>
  </si>
  <si>
    <t>CX1012</t>
  </si>
  <si>
    <t>12 PTS SET (7/16"-15/16") HALF MOON SPCL. WRENCHES</t>
  </si>
  <si>
    <t>T60-1001C8-1A</t>
  </si>
  <si>
    <t>CABLE TENSION METER (10-200LB)</t>
  </si>
  <si>
    <t>S34852-343P99</t>
  </si>
  <si>
    <t>ABS1040-88</t>
  </si>
  <si>
    <t>RS900BS022</t>
  </si>
  <si>
    <t>MS20613-4C22</t>
  </si>
  <si>
    <t>S33709-214H20</t>
  </si>
  <si>
    <t>SEAL AY</t>
  </si>
  <si>
    <t>AR2511-7S77</t>
  </si>
  <si>
    <t>MOZZLE</t>
  </si>
  <si>
    <t>L32A320-230-5</t>
  </si>
  <si>
    <t>ROD END ASSY</t>
  </si>
  <si>
    <t>B2NA</t>
  </si>
  <si>
    <t>ATP CESSNA 172 CD</t>
  </si>
  <si>
    <t>KEYBOARD</t>
  </si>
  <si>
    <t>NAS7303A-25</t>
  </si>
  <si>
    <t>NAS1252-10H</t>
  </si>
  <si>
    <t>NAS7504A-26</t>
  </si>
  <si>
    <t>NAS1252-416H</t>
  </si>
  <si>
    <t>NAS1204-20</t>
  </si>
  <si>
    <t>NAS1204-23</t>
  </si>
  <si>
    <t>D37265</t>
  </si>
  <si>
    <t>FACESEAL</t>
  </si>
  <si>
    <t>A1219558</t>
  </si>
  <si>
    <t>NAS1611-225A</t>
  </si>
  <si>
    <t>NSA8218-03</t>
  </si>
  <si>
    <t>CEP-22</t>
  </si>
  <si>
    <t>PA-76</t>
  </si>
  <si>
    <t>GA HEADSET TPO HELICOPTER ADAPTER</t>
  </si>
  <si>
    <t>E0052R14B19SNF</t>
  </si>
  <si>
    <t>AS1895-7-450</t>
  </si>
  <si>
    <t>MS21353-351</t>
  </si>
  <si>
    <t>MS24525-23</t>
  </si>
  <si>
    <t>MS90310-231</t>
  </si>
  <si>
    <t>M8805/95-003</t>
  </si>
  <si>
    <t>M8805/96-006</t>
  </si>
  <si>
    <t>MS25224-1</t>
  </si>
  <si>
    <t>MS90311-231</t>
  </si>
  <si>
    <t>MS27039C1-10</t>
  </si>
  <si>
    <t>SHRINK ON SOCK</t>
  </si>
  <si>
    <t>BACN10YR3CD</t>
  </si>
  <si>
    <t>D72D70434-111</t>
  </si>
  <si>
    <t>NAS1611-224</t>
  </si>
  <si>
    <t>CAP ASSEMBLY</t>
  </si>
  <si>
    <t>BACB30NN4K12</t>
  </si>
  <si>
    <t>EVT174-04-06</t>
  </si>
  <si>
    <t>D72D70140-121</t>
  </si>
  <si>
    <t>D72D70140-221</t>
  </si>
  <si>
    <t>QUIKOC AP21651MP</t>
  </si>
  <si>
    <t>MXH15-22</t>
  </si>
  <si>
    <t>DTS4032</t>
  </si>
  <si>
    <t>NoiseGard-headset, + 6dB SPL, closed, mic. with 60</t>
  </si>
  <si>
    <t>BUTTON, BOLT</t>
  </si>
  <si>
    <t>E13659AA</t>
  </si>
  <si>
    <t>CONN</t>
  </si>
  <si>
    <t>TRJ780-03</t>
  </si>
  <si>
    <t>VALVE SA</t>
  </si>
  <si>
    <t>NAS1149F1490P</t>
  </si>
  <si>
    <t>SYSTEM INTERFACE UNIT</t>
  </si>
  <si>
    <t>NAS1580V4T17</t>
  </si>
  <si>
    <t>NAS7103-26</t>
  </si>
  <si>
    <t>NAS1252-10L</t>
  </si>
  <si>
    <t>NAS1252-416L</t>
  </si>
  <si>
    <t>MS21076-5N</t>
  </si>
  <si>
    <t>MS20427F4-7</t>
  </si>
  <si>
    <t>NAS1351-4-24P</t>
  </si>
  <si>
    <t>AC1705</t>
  </si>
  <si>
    <t>LED, YELLOW</t>
  </si>
  <si>
    <t>SCREEN ASSY</t>
  </si>
  <si>
    <t>A1250602</t>
  </si>
  <si>
    <t>NIGHT LIGHT FROVISION</t>
  </si>
  <si>
    <t>PRINTER PAPER</t>
  </si>
  <si>
    <t>SPS27FT-1032</t>
  </si>
  <si>
    <t>BACC45FT24-61S</t>
  </si>
  <si>
    <t>Connector</t>
  </si>
  <si>
    <t>BACC45FT24-61S8</t>
  </si>
  <si>
    <t>BACC45FT24-61S10</t>
  </si>
  <si>
    <t>S283A004-6</t>
  </si>
  <si>
    <t>Part Number Supply List</t>
  </si>
  <si>
    <t>TOPCAST AVIATION SUPPLIES CO.,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</si>
</sst>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73"/>
  <sheetViews>
    <sheetView tabSelected="1" zoomScaleNormal="100" workbookViewId="0">
      <selection activeCell="B8" sqref="B8"/>
    </sheetView>
  </sheetViews>
  <sheetFormatPr defaultRowHeight="14.4" x14ac:dyDescent="0.3"/>
  <cols>
    <col min="1" max="1" width="25.6640625" customWidth="1"/>
    <col min="2" max="2" width="48.6640625" customWidth="1"/>
  </cols>
  <sheetData>
    <row r="1" spans="1:2" ht="18" x14ac:dyDescent="0.35">
      <c r="A1" s="2" t="s">
        <v>4823</v>
      </c>
    </row>
    <row r="2" spans="1:2" s="4" customFormat="1" ht="15.6" customHeight="1" x14ac:dyDescent="0.3">
      <c r="A2" s="3" t="s">
        <v>4822</v>
      </c>
    </row>
    <row r="3" spans="1:2" ht="13.8" customHeight="1" x14ac:dyDescent="0.35">
      <c r="A3" s="2"/>
    </row>
    <row r="4" spans="1:2" x14ac:dyDescent="0.3">
      <c r="A4" s="5" t="s">
        <v>0</v>
      </c>
      <c r="B4" s="5" t="s">
        <v>5</v>
      </c>
    </row>
    <row r="5" spans="1:2" x14ac:dyDescent="0.3">
      <c r="A5" t="str">
        <f>"000-040-159"</f>
        <v>000-040-159</v>
      </c>
      <c r="B5" t="s">
        <v>11</v>
      </c>
    </row>
    <row r="6" spans="1:2" x14ac:dyDescent="0.3">
      <c r="A6" t="str">
        <f>"000-170000-54"</f>
        <v>000-170000-54</v>
      </c>
      <c r="B6" t="s">
        <v>489</v>
      </c>
    </row>
    <row r="7" spans="1:2" x14ac:dyDescent="0.3">
      <c r="A7" t="str">
        <f>"00110100410"</f>
        <v>00110100410</v>
      </c>
      <c r="B7" t="s">
        <v>2013</v>
      </c>
    </row>
    <row r="8" spans="1:2" x14ac:dyDescent="0.3">
      <c r="A8" t="str">
        <f>"00110110210"</f>
        <v>00110110210</v>
      </c>
      <c r="B8" t="s">
        <v>331</v>
      </c>
    </row>
    <row r="9" spans="1:2" x14ac:dyDescent="0.3">
      <c r="A9" t="str">
        <f>"00116"</f>
        <v>00116</v>
      </c>
      <c r="B9" t="s">
        <v>851</v>
      </c>
    </row>
    <row r="10" spans="1:2" x14ac:dyDescent="0.3">
      <c r="A10" t="str">
        <f>"001-5490-000"</f>
        <v>001-5490-000</v>
      </c>
      <c r="B10" t="s">
        <v>956</v>
      </c>
    </row>
    <row r="11" spans="1:2" x14ac:dyDescent="0.3">
      <c r="A11" t="str">
        <f>"0016-0015-5"</f>
        <v>0016-0015-5</v>
      </c>
      <c r="B11" t="s">
        <v>129</v>
      </c>
    </row>
    <row r="12" spans="1:2" x14ac:dyDescent="0.3">
      <c r="A12" t="str">
        <f>"001-9035-001"</f>
        <v>001-9035-001</v>
      </c>
      <c r="B12" t="s">
        <v>1746</v>
      </c>
    </row>
    <row r="13" spans="1:2" x14ac:dyDescent="0.3">
      <c r="A13" t="str">
        <f>"00216"</f>
        <v>00216</v>
      </c>
      <c r="B13" t="s">
        <v>852</v>
      </c>
    </row>
    <row r="14" spans="1:2" x14ac:dyDescent="0.3">
      <c r="A14" t="str">
        <f>"00-271169"</f>
        <v>00-271169</v>
      </c>
      <c r="B14" t="s">
        <v>188</v>
      </c>
    </row>
    <row r="15" spans="1:2" x14ac:dyDescent="0.3">
      <c r="A15" t="str">
        <f>"00316"</f>
        <v>00316</v>
      </c>
      <c r="B15" t="s">
        <v>853</v>
      </c>
    </row>
    <row r="16" spans="1:2" x14ac:dyDescent="0.3">
      <c r="A16" t="str">
        <f>"00861-1006-0001"</f>
        <v>00861-1006-0001</v>
      </c>
      <c r="B16" t="s">
        <v>1879</v>
      </c>
    </row>
    <row r="17" spans="1:2" x14ac:dyDescent="0.3">
      <c r="A17" t="str">
        <f>"00861-1012-0001"</f>
        <v>00861-1012-0001</v>
      </c>
      <c r="B17" t="s">
        <v>4709</v>
      </c>
    </row>
    <row r="18" spans="1:2" x14ac:dyDescent="0.3">
      <c r="A18" t="str">
        <f>"01005762"</f>
        <v>01005762</v>
      </c>
      <c r="B18" t="s">
        <v>4279</v>
      </c>
    </row>
    <row r="19" spans="1:2" x14ac:dyDescent="0.3">
      <c r="A19" t="str">
        <f>"01007093"</f>
        <v>01007093</v>
      </c>
      <c r="B19" t="s">
        <v>4277</v>
      </c>
    </row>
    <row r="20" spans="1:2" x14ac:dyDescent="0.3">
      <c r="A20" t="str">
        <f>"01007094"</f>
        <v>01007094</v>
      </c>
      <c r="B20" t="s">
        <v>4277</v>
      </c>
    </row>
    <row r="21" spans="1:2" x14ac:dyDescent="0.3">
      <c r="A21" t="str">
        <f>"01007108"</f>
        <v>01007108</v>
      </c>
      <c r="B21" t="s">
        <v>4278</v>
      </c>
    </row>
    <row r="22" spans="1:2" x14ac:dyDescent="0.3">
      <c r="A22" t="str">
        <f>"010-10040-01"</f>
        <v>010-10040-01</v>
      </c>
      <c r="B22" t="s">
        <v>4033</v>
      </c>
    </row>
    <row r="23" spans="1:2" x14ac:dyDescent="0.3">
      <c r="A23" t="str">
        <f>"010-10074-00"</f>
        <v>010-10074-00</v>
      </c>
      <c r="B23" t="s">
        <v>3586</v>
      </c>
    </row>
    <row r="24" spans="1:2" x14ac:dyDescent="0.3">
      <c r="A24" t="str">
        <f>"010-10511-00"</f>
        <v>010-10511-00</v>
      </c>
      <c r="B24" t="s">
        <v>3035</v>
      </c>
    </row>
    <row r="25" spans="1:2" x14ac:dyDescent="0.3">
      <c r="A25" t="str">
        <f>"01-017102-020"</f>
        <v>01-017102-020</v>
      </c>
      <c r="B25" t="s">
        <v>3523</v>
      </c>
    </row>
    <row r="26" spans="1:2" x14ac:dyDescent="0.3">
      <c r="A26" t="str">
        <f>"01021609"</f>
        <v>01021609</v>
      </c>
      <c r="B26" t="s">
        <v>133</v>
      </c>
    </row>
    <row r="27" spans="1:2" x14ac:dyDescent="0.3">
      <c r="A27" t="str">
        <f>"01-0410823-00"</f>
        <v>01-0410823-00</v>
      </c>
      <c r="B27" t="s">
        <v>713</v>
      </c>
    </row>
    <row r="28" spans="1:2" x14ac:dyDescent="0.3">
      <c r="A28" t="str">
        <f>"01-0430011-00"</f>
        <v>01-0430011-00</v>
      </c>
      <c r="B28" t="s">
        <v>18</v>
      </c>
    </row>
    <row r="29" spans="1:2" x14ac:dyDescent="0.3">
      <c r="A29" t="str">
        <f>"01-0750218-00"</f>
        <v>01-0750218-00</v>
      </c>
      <c r="B29" t="s">
        <v>2630</v>
      </c>
    </row>
    <row r="30" spans="1:2" x14ac:dyDescent="0.3">
      <c r="A30" t="str">
        <f>"01-0770006-17"</f>
        <v>01-0770006-17</v>
      </c>
      <c r="B30" t="s">
        <v>2393</v>
      </c>
    </row>
    <row r="31" spans="1:2" x14ac:dyDescent="0.3">
      <c r="A31" t="str">
        <f>"01-0770028-05"</f>
        <v>01-0770028-05</v>
      </c>
      <c r="B31" t="s">
        <v>352</v>
      </c>
    </row>
    <row r="32" spans="1:2" x14ac:dyDescent="0.3">
      <c r="A32" t="str">
        <f>"01-0770034-01"</f>
        <v>01-0770034-01</v>
      </c>
      <c r="B32" t="s">
        <v>709</v>
      </c>
    </row>
    <row r="33" spans="1:2" x14ac:dyDescent="0.3">
      <c r="A33" t="str">
        <f>"01-0770054-05"</f>
        <v>01-0770054-05</v>
      </c>
      <c r="B33" t="s">
        <v>2709</v>
      </c>
    </row>
    <row r="34" spans="1:2" x14ac:dyDescent="0.3">
      <c r="A34" t="str">
        <f>"01-0770054-07"</f>
        <v>01-0770054-07</v>
      </c>
      <c r="B34" t="s">
        <v>2708</v>
      </c>
    </row>
    <row r="35" spans="1:2" x14ac:dyDescent="0.3">
      <c r="A35" t="str">
        <f>"01-0770058-04"</f>
        <v>01-0770058-04</v>
      </c>
      <c r="B35" t="s">
        <v>710</v>
      </c>
    </row>
    <row r="36" spans="1:2" x14ac:dyDescent="0.3">
      <c r="A36" t="str">
        <f>"01-0770058-15"</f>
        <v>01-0770058-15</v>
      </c>
      <c r="B36" t="s">
        <v>255</v>
      </c>
    </row>
    <row r="37" spans="1:2" x14ac:dyDescent="0.3">
      <c r="A37" t="str">
        <f>"01-0770062-03"</f>
        <v>01-0770062-03</v>
      </c>
      <c r="B37" t="s">
        <v>711</v>
      </c>
    </row>
    <row r="38" spans="1:2" x14ac:dyDescent="0.3">
      <c r="A38" t="str">
        <f>"01-0770062-05"</f>
        <v>01-0770062-05</v>
      </c>
      <c r="B38" t="s">
        <v>1105</v>
      </c>
    </row>
    <row r="39" spans="1:2" x14ac:dyDescent="0.3">
      <c r="A39" t="str">
        <f>"01-0770104-31"</f>
        <v>01-0770104-31</v>
      </c>
      <c r="B39" t="s">
        <v>786</v>
      </c>
    </row>
    <row r="40" spans="1:2" x14ac:dyDescent="0.3">
      <c r="A40" t="str">
        <f>"01-0770346-01"</f>
        <v>01-0770346-01</v>
      </c>
      <c r="B40" t="s">
        <v>829</v>
      </c>
    </row>
    <row r="41" spans="1:2" x14ac:dyDescent="0.3">
      <c r="A41" t="str">
        <f>"01-0770346-03"</f>
        <v>01-0770346-03</v>
      </c>
      <c r="B41" t="s">
        <v>1510</v>
      </c>
    </row>
    <row r="42" spans="1:2" x14ac:dyDescent="0.3">
      <c r="A42" t="str">
        <f>"01-0770486-01"</f>
        <v>01-0770486-01</v>
      </c>
      <c r="B42" t="s">
        <v>707</v>
      </c>
    </row>
    <row r="43" spans="1:2" x14ac:dyDescent="0.3">
      <c r="A43" t="str">
        <f>"01-0770486-02"</f>
        <v>01-0770486-02</v>
      </c>
      <c r="B43" t="s">
        <v>708</v>
      </c>
    </row>
    <row r="44" spans="1:2" x14ac:dyDescent="0.3">
      <c r="A44" t="str">
        <f>"01-0770666-00"</f>
        <v>01-0770666-00</v>
      </c>
      <c r="B44" t="s">
        <v>4474</v>
      </c>
    </row>
    <row r="45" spans="1:2" x14ac:dyDescent="0.3">
      <c r="A45" t="str">
        <f>"01-0770818-00"</f>
        <v>01-0770818-00</v>
      </c>
      <c r="B45" t="s">
        <v>710</v>
      </c>
    </row>
    <row r="46" spans="1:2" x14ac:dyDescent="0.3">
      <c r="A46" t="str">
        <f>"01-0771011-02"</f>
        <v>01-0771011-02</v>
      </c>
      <c r="B46" t="s">
        <v>786</v>
      </c>
    </row>
    <row r="47" spans="1:2" x14ac:dyDescent="0.3">
      <c r="A47" t="str">
        <f>"01-1112-0010"</f>
        <v>01-1112-0010</v>
      </c>
      <c r="B47" t="s">
        <v>1429</v>
      </c>
    </row>
    <row r="48" spans="1:2" x14ac:dyDescent="0.3">
      <c r="A48" t="str">
        <f>"012187"</f>
        <v>012187</v>
      </c>
      <c r="B48" t="s">
        <v>2263</v>
      </c>
    </row>
    <row r="49" spans="1:2" x14ac:dyDescent="0.3">
      <c r="A49" t="str">
        <f>"0-123-000700000"</f>
        <v>0-123-000700000</v>
      </c>
      <c r="B49" t="s">
        <v>353</v>
      </c>
    </row>
    <row r="50" spans="1:2" x14ac:dyDescent="0.3">
      <c r="A50" t="str">
        <f>"013294"</f>
        <v>013294</v>
      </c>
      <c r="B50" t="s">
        <v>2264</v>
      </c>
    </row>
    <row r="51" spans="1:2" x14ac:dyDescent="0.3">
      <c r="A51" t="str">
        <f>"015579-000"</f>
        <v>015579-000</v>
      </c>
      <c r="B51" t="s">
        <v>2908</v>
      </c>
    </row>
    <row r="52" spans="1:2" x14ac:dyDescent="0.3">
      <c r="A52" t="str">
        <f>"016420-000"</f>
        <v>016420-000</v>
      </c>
      <c r="B52" t="s">
        <v>511</v>
      </c>
    </row>
    <row r="53" spans="1:2" x14ac:dyDescent="0.3">
      <c r="A53" t="str">
        <f>"017556-000"</f>
        <v>017556-000</v>
      </c>
      <c r="B53" t="s">
        <v>3060</v>
      </c>
    </row>
    <row r="54" spans="1:2" x14ac:dyDescent="0.3">
      <c r="A54" t="str">
        <f>"018-1394-100"</f>
        <v>018-1394-100</v>
      </c>
      <c r="B54" t="s">
        <v>2845</v>
      </c>
    </row>
    <row r="55" spans="1:2" x14ac:dyDescent="0.3">
      <c r="A55" t="str">
        <f>"018520-000"</f>
        <v>018520-000</v>
      </c>
      <c r="B55" t="s">
        <v>2473</v>
      </c>
    </row>
    <row r="56" spans="1:2" x14ac:dyDescent="0.3">
      <c r="A56" t="str">
        <f>"018550-000"</f>
        <v>018550-000</v>
      </c>
      <c r="B56" t="s">
        <v>181</v>
      </c>
    </row>
    <row r="57" spans="1:2" x14ac:dyDescent="0.3">
      <c r="A57" t="str">
        <f>"01940-007"</f>
        <v>01940-007</v>
      </c>
      <c r="B57" t="s">
        <v>171</v>
      </c>
    </row>
    <row r="58" spans="1:2" x14ac:dyDescent="0.3">
      <c r="A58" t="str">
        <f>"01956-003"</f>
        <v>01956-003</v>
      </c>
    </row>
    <row r="59" spans="1:2" x14ac:dyDescent="0.3">
      <c r="A59" t="s">
        <v>2605</v>
      </c>
      <c r="B59" t="s">
        <v>263</v>
      </c>
    </row>
    <row r="60" spans="1:2" x14ac:dyDescent="0.3">
      <c r="A60" t="str">
        <f>"020-002-923"</f>
        <v>020-002-923</v>
      </c>
      <c r="B60" t="s">
        <v>1491</v>
      </c>
    </row>
    <row r="61" spans="1:2" x14ac:dyDescent="0.3">
      <c r="A61" t="str">
        <f>"020003263"</f>
        <v>020003263</v>
      </c>
      <c r="B61" t="s">
        <v>3818</v>
      </c>
    </row>
    <row r="62" spans="1:2" x14ac:dyDescent="0.3">
      <c r="A62" t="str">
        <f>"02-0168550-00"</f>
        <v>02-0168550-00</v>
      </c>
      <c r="B62" t="s">
        <v>1652</v>
      </c>
    </row>
    <row r="63" spans="1:2" x14ac:dyDescent="0.3">
      <c r="A63" t="str">
        <f>"02-0230007-00"</f>
        <v>02-0230007-00</v>
      </c>
      <c r="B63" t="s">
        <v>714</v>
      </c>
    </row>
    <row r="64" spans="1:2" x14ac:dyDescent="0.3">
      <c r="A64" t="str">
        <f>"02-0230085-00"</f>
        <v>02-0230085-00</v>
      </c>
      <c r="B64" t="s">
        <v>715</v>
      </c>
    </row>
    <row r="65" spans="1:2" x14ac:dyDescent="0.3">
      <c r="A65" t="str">
        <f>"02-0250276-00"</f>
        <v>02-0250276-00</v>
      </c>
      <c r="B65" t="s">
        <v>792</v>
      </c>
    </row>
    <row r="66" spans="1:2" x14ac:dyDescent="0.3">
      <c r="A66" t="str">
        <f>"02-0250557-00"</f>
        <v>02-0250557-00</v>
      </c>
      <c r="B66" t="s">
        <v>103</v>
      </c>
    </row>
    <row r="67" spans="1:2" x14ac:dyDescent="0.3">
      <c r="A67" t="str">
        <f>"02-0350433-01"</f>
        <v>02-0350433-01</v>
      </c>
      <c r="B67" t="s">
        <v>2449</v>
      </c>
    </row>
    <row r="68" spans="1:2" x14ac:dyDescent="0.3">
      <c r="A68" t="str">
        <f>"02-0520-0110"</f>
        <v>02-0520-0110</v>
      </c>
      <c r="B68" t="s">
        <v>1427</v>
      </c>
    </row>
    <row r="69" spans="1:2" x14ac:dyDescent="0.3">
      <c r="A69" t="str">
        <f>"02-0526-0110"</f>
        <v>02-0526-0110</v>
      </c>
      <c r="B69" t="s">
        <v>1428</v>
      </c>
    </row>
    <row r="70" spans="1:2" x14ac:dyDescent="0.3">
      <c r="A70" t="str">
        <f>"02-0536-0110"</f>
        <v>02-0536-0110</v>
      </c>
      <c r="B70" t="s">
        <v>1144</v>
      </c>
    </row>
    <row r="71" spans="1:2" x14ac:dyDescent="0.3">
      <c r="A71" t="str">
        <f>"02-06-2103"</f>
        <v>02-06-2103</v>
      </c>
      <c r="B71" t="s">
        <v>3170</v>
      </c>
    </row>
    <row r="72" spans="1:2" x14ac:dyDescent="0.3">
      <c r="A72" t="str">
        <f>"02-06-6103"</f>
        <v>02-06-6103</v>
      </c>
      <c r="B72" t="s">
        <v>3170</v>
      </c>
    </row>
    <row r="73" spans="1:2" x14ac:dyDescent="0.3">
      <c r="A73" t="str">
        <f>"02-09-1203"</f>
        <v>02-09-1203</v>
      </c>
      <c r="B73" t="s">
        <v>20</v>
      </c>
    </row>
    <row r="74" spans="1:2" x14ac:dyDescent="0.3">
      <c r="A74" t="str">
        <f>"02-09-1205"</f>
        <v>02-09-1205</v>
      </c>
      <c r="B74" t="s">
        <v>20</v>
      </c>
    </row>
    <row r="75" spans="1:2" x14ac:dyDescent="0.3">
      <c r="A75" t="str">
        <f>"020915-004"</f>
        <v>020915-004</v>
      </c>
      <c r="B75" t="s">
        <v>3058</v>
      </c>
    </row>
    <row r="76" spans="1:2" x14ac:dyDescent="0.3">
      <c r="A76" t="str">
        <f>"022228-000"</f>
        <v>022228-000</v>
      </c>
      <c r="B76" t="s">
        <v>2907</v>
      </c>
    </row>
    <row r="77" spans="1:2" x14ac:dyDescent="0.3">
      <c r="A77" t="str">
        <f>"023413-000"</f>
        <v>023413-000</v>
      </c>
      <c r="B77" t="s">
        <v>2473</v>
      </c>
    </row>
    <row r="78" spans="1:2" x14ac:dyDescent="0.3">
      <c r="A78" t="str">
        <f>"023456-000"</f>
        <v>023456-000</v>
      </c>
      <c r="B78" t="s">
        <v>2522</v>
      </c>
    </row>
    <row r="79" spans="1:2" x14ac:dyDescent="0.3">
      <c r="A79" t="str">
        <f>"0234913"</f>
        <v>0234913</v>
      </c>
      <c r="B79" t="s">
        <v>136</v>
      </c>
    </row>
    <row r="80" spans="1:2" x14ac:dyDescent="0.3">
      <c r="A80" t="str">
        <f>"024-0799-030"</f>
        <v>024-0799-030</v>
      </c>
      <c r="B80" t="s">
        <v>3415</v>
      </c>
    </row>
    <row r="81" spans="1:2" x14ac:dyDescent="0.3">
      <c r="A81" t="str">
        <f>"024147-000"</f>
        <v>024147-000</v>
      </c>
    </row>
    <row r="82" spans="1:2" x14ac:dyDescent="0.3">
      <c r="A82" t="str">
        <f>"024227-000"</f>
        <v>024227-000</v>
      </c>
      <c r="B82" t="s">
        <v>3277</v>
      </c>
    </row>
    <row r="83" spans="1:2" x14ac:dyDescent="0.3">
      <c r="A83" t="str">
        <f>"02444335-0022"</f>
        <v>02444335-0022</v>
      </c>
      <c r="B83" t="s">
        <v>2022</v>
      </c>
    </row>
    <row r="84" spans="1:2" x14ac:dyDescent="0.3">
      <c r="A84" t="str">
        <f>"024637-000"</f>
        <v>024637-000</v>
      </c>
      <c r="B84" t="s">
        <v>181</v>
      </c>
    </row>
    <row r="85" spans="1:2" x14ac:dyDescent="0.3">
      <c r="A85" t="str">
        <f>"025-07-124"</f>
        <v>025-07-124</v>
      </c>
      <c r="B85" t="s">
        <v>173</v>
      </c>
    </row>
    <row r="86" spans="1:2" x14ac:dyDescent="0.3">
      <c r="A86" t="str">
        <f>"025-07-137"</f>
        <v>025-07-137</v>
      </c>
      <c r="B86" t="s">
        <v>173</v>
      </c>
    </row>
    <row r="87" spans="1:2" x14ac:dyDescent="0.3">
      <c r="A87" t="str">
        <f>"025-07-273"</f>
        <v>025-07-273</v>
      </c>
      <c r="B87" t="s">
        <v>173</v>
      </c>
    </row>
    <row r="88" spans="1:2" x14ac:dyDescent="0.3">
      <c r="A88" t="str">
        <f>"026-07-073"</f>
        <v>026-07-073</v>
      </c>
      <c r="B88" t="s">
        <v>3204</v>
      </c>
    </row>
    <row r="89" spans="1:2" x14ac:dyDescent="0.3">
      <c r="A89" t="str">
        <f>"02-6120-16057"</f>
        <v>02-6120-16057</v>
      </c>
      <c r="B89" t="s">
        <v>1156</v>
      </c>
    </row>
    <row r="90" spans="1:2" x14ac:dyDescent="0.3">
      <c r="A90" t="str">
        <f>"02-6120-16102"</f>
        <v>02-6120-16102</v>
      </c>
      <c r="B90" t="s">
        <v>997</v>
      </c>
    </row>
    <row r="91" spans="1:2" x14ac:dyDescent="0.3">
      <c r="A91" t="str">
        <f>"02-6120-16126"</f>
        <v>02-6120-16126</v>
      </c>
      <c r="B91" t="s">
        <v>995</v>
      </c>
    </row>
    <row r="92" spans="1:2" x14ac:dyDescent="0.3">
      <c r="A92" t="str">
        <f>"02-6120-16141"</f>
        <v>02-6120-16141</v>
      </c>
      <c r="B92" t="s">
        <v>994</v>
      </c>
    </row>
    <row r="93" spans="1:2" x14ac:dyDescent="0.3">
      <c r="A93" t="str">
        <f>"02-6120-16160"</f>
        <v>02-6120-16160</v>
      </c>
      <c r="B93" t="s">
        <v>996</v>
      </c>
    </row>
    <row r="94" spans="1:2" x14ac:dyDescent="0.3">
      <c r="A94" t="str">
        <f>"02-6120-16169"</f>
        <v>02-6120-16169</v>
      </c>
      <c r="B94" t="s">
        <v>993</v>
      </c>
    </row>
    <row r="95" spans="1:2" x14ac:dyDescent="0.3">
      <c r="A95" t="str">
        <f>"02-6120-16200"</f>
        <v>02-6120-16200</v>
      </c>
      <c r="B95" t="s">
        <v>116</v>
      </c>
    </row>
    <row r="96" spans="1:2" x14ac:dyDescent="0.3">
      <c r="A96" t="str">
        <f>"02-6120-16201"</f>
        <v>02-6120-16201</v>
      </c>
      <c r="B96" t="s">
        <v>994</v>
      </c>
    </row>
    <row r="97" spans="1:2" x14ac:dyDescent="0.3">
      <c r="A97" t="str">
        <f>"026-30-2"</f>
        <v>026-30-2</v>
      </c>
      <c r="B97" t="s">
        <v>4354</v>
      </c>
    </row>
    <row r="98" spans="1:2" x14ac:dyDescent="0.3">
      <c r="A98" t="str">
        <f>"026-30-2-999-11G1"</f>
        <v>026-30-2-999-11G1</v>
      </c>
      <c r="B98" t="s">
        <v>4649</v>
      </c>
    </row>
    <row r="99" spans="1:2" x14ac:dyDescent="0.3">
      <c r="A99" t="str">
        <f>"026-35-2-999-3211"</f>
        <v>026-35-2-999-3211</v>
      </c>
      <c r="B99" t="s">
        <v>4795</v>
      </c>
    </row>
    <row r="100" spans="1:2" x14ac:dyDescent="0.3">
      <c r="A100" t="str">
        <f>"026-35-999-1191"</f>
        <v>026-35-999-1191</v>
      </c>
      <c r="B100" t="s">
        <v>3403</v>
      </c>
    </row>
    <row r="101" spans="1:2" x14ac:dyDescent="0.3">
      <c r="A101" t="str">
        <f>"026-35-999-3111"</f>
        <v>026-35-999-3111</v>
      </c>
      <c r="B101" t="s">
        <v>3965</v>
      </c>
    </row>
    <row r="102" spans="1:2" x14ac:dyDescent="0.3">
      <c r="A102" t="str">
        <f>"026-55-999-0231"</f>
        <v>026-55-999-0231</v>
      </c>
      <c r="B102" t="s">
        <v>2752</v>
      </c>
    </row>
    <row r="103" spans="1:2" x14ac:dyDescent="0.3">
      <c r="A103" t="str">
        <f>"026-CO-2"</f>
        <v>026-CO-2</v>
      </c>
      <c r="B103" t="s">
        <v>4354</v>
      </c>
    </row>
    <row r="104" spans="1:2" x14ac:dyDescent="0.3">
      <c r="A104" t="str">
        <f>"02-7120-09106"</f>
        <v>02-7120-09106</v>
      </c>
      <c r="B104" t="s">
        <v>116</v>
      </c>
    </row>
    <row r="105" spans="1:2" x14ac:dyDescent="0.3">
      <c r="A105" t="str">
        <f>"02-7120-09107"</f>
        <v>02-7120-09107</v>
      </c>
      <c r="B105" t="s">
        <v>1287</v>
      </c>
    </row>
    <row r="106" spans="1:2" x14ac:dyDescent="0.3">
      <c r="A106" t="str">
        <f>"02-7120-09108"</f>
        <v>02-7120-09108</v>
      </c>
      <c r="B106" t="s">
        <v>1289</v>
      </c>
    </row>
    <row r="107" spans="1:2" x14ac:dyDescent="0.3">
      <c r="A107" t="str">
        <f>"02-7120-09109"</f>
        <v>02-7120-09109</v>
      </c>
      <c r="B107" t="s">
        <v>363</v>
      </c>
    </row>
    <row r="108" spans="1:2" x14ac:dyDescent="0.3">
      <c r="A108" t="str">
        <f>"02-7120-09114"</f>
        <v>02-7120-09114</v>
      </c>
      <c r="B108" t="s">
        <v>1287</v>
      </c>
    </row>
    <row r="109" spans="1:2" x14ac:dyDescent="0.3">
      <c r="A109" t="str">
        <f>"02-7120-09115"</f>
        <v>02-7120-09115</v>
      </c>
      <c r="B109" t="s">
        <v>116</v>
      </c>
    </row>
    <row r="110" spans="1:2" x14ac:dyDescent="0.3">
      <c r="A110" t="str">
        <f>"02-7120-09125"</f>
        <v>02-7120-09125</v>
      </c>
      <c r="B110" t="s">
        <v>1288</v>
      </c>
    </row>
    <row r="111" spans="1:2" x14ac:dyDescent="0.3">
      <c r="A111" t="str">
        <f>"02-7120-09206"</f>
        <v>02-7120-09206</v>
      </c>
      <c r="B111" t="s">
        <v>1284</v>
      </c>
    </row>
    <row r="112" spans="1:2" x14ac:dyDescent="0.3">
      <c r="A112" t="str">
        <f>"02-7120-09212"</f>
        <v>02-7120-09212</v>
      </c>
      <c r="B112" t="s">
        <v>1283</v>
      </c>
    </row>
    <row r="113" spans="1:2" x14ac:dyDescent="0.3">
      <c r="A113" t="str">
        <f>"02-7120-09214"</f>
        <v>02-7120-09214</v>
      </c>
      <c r="B113" t="s">
        <v>1285</v>
      </c>
    </row>
    <row r="114" spans="1:2" x14ac:dyDescent="0.3">
      <c r="A114" t="str">
        <f>"02-7120-09218"</f>
        <v>02-7120-09218</v>
      </c>
      <c r="B114" t="s">
        <v>1285</v>
      </c>
    </row>
    <row r="115" spans="1:2" x14ac:dyDescent="0.3">
      <c r="A115" t="str">
        <f>"02-7120-09220"</f>
        <v>02-7120-09220</v>
      </c>
      <c r="B115" t="s">
        <v>1286</v>
      </c>
    </row>
    <row r="116" spans="1:2" x14ac:dyDescent="0.3">
      <c r="A116" t="str">
        <f>"02-7150-55007"</f>
        <v>02-7150-55007</v>
      </c>
      <c r="B116" t="s">
        <v>1487</v>
      </c>
    </row>
    <row r="117" spans="1:2" x14ac:dyDescent="0.3">
      <c r="A117" t="str">
        <f>"02-7150-55030"</f>
        <v>02-7150-55030</v>
      </c>
      <c r="B117" t="s">
        <v>998</v>
      </c>
    </row>
    <row r="118" spans="1:2" x14ac:dyDescent="0.3">
      <c r="A118" t="str">
        <f>"02-7150-55112"</f>
        <v>02-7150-55112</v>
      </c>
      <c r="B118" t="s">
        <v>1471</v>
      </c>
    </row>
    <row r="119" spans="1:2" x14ac:dyDescent="0.3">
      <c r="A119" t="str">
        <f>"02-7210-07002"</f>
        <v>02-7210-07002</v>
      </c>
      <c r="B119" t="s">
        <v>999</v>
      </c>
    </row>
    <row r="120" spans="1:2" x14ac:dyDescent="0.3">
      <c r="A120" t="str">
        <f>"02-7210-07187"</f>
        <v>02-7210-07187</v>
      </c>
      <c r="B120" t="s">
        <v>1246</v>
      </c>
    </row>
    <row r="121" spans="1:2" x14ac:dyDescent="0.3">
      <c r="A121" t="str">
        <f>"02-7210-07190"</f>
        <v>02-7210-07190</v>
      </c>
      <c r="B121" t="s">
        <v>1001</v>
      </c>
    </row>
    <row r="122" spans="1:2" x14ac:dyDescent="0.3">
      <c r="A122" t="str">
        <f>"02-7210-07191"</f>
        <v>02-7210-07191</v>
      </c>
      <c r="B122" t="s">
        <v>994</v>
      </c>
    </row>
    <row r="123" spans="1:2" x14ac:dyDescent="0.3">
      <c r="A123" t="str">
        <f>"02-7210-07292"</f>
        <v>02-7210-07292</v>
      </c>
      <c r="B123" t="s">
        <v>1234</v>
      </c>
    </row>
    <row r="124" spans="1:2" x14ac:dyDescent="0.3">
      <c r="A124" t="str">
        <f>"02-7210-07294"</f>
        <v>02-7210-07294</v>
      </c>
      <c r="B124" t="s">
        <v>1157</v>
      </c>
    </row>
    <row r="125" spans="1:2" x14ac:dyDescent="0.3">
      <c r="A125" t="str">
        <f>"02-7210-07328"</f>
        <v>02-7210-07328</v>
      </c>
      <c r="B125" t="s">
        <v>1000</v>
      </c>
    </row>
    <row r="126" spans="1:2" x14ac:dyDescent="0.3">
      <c r="A126" t="str">
        <f>"02-7210-11108"</f>
        <v>02-7210-11108</v>
      </c>
      <c r="B126" t="s">
        <v>1722</v>
      </c>
    </row>
    <row r="127" spans="1:2" x14ac:dyDescent="0.3">
      <c r="A127" t="str">
        <f>"02-7210-11112"</f>
        <v>02-7210-11112</v>
      </c>
      <c r="B127" t="s">
        <v>1723</v>
      </c>
    </row>
    <row r="128" spans="1:2" x14ac:dyDescent="0.3">
      <c r="A128" t="str">
        <f>"02-7220-01115"</f>
        <v>02-7220-01115</v>
      </c>
      <c r="B128" t="s">
        <v>1690</v>
      </c>
    </row>
    <row r="129" spans="1:2" x14ac:dyDescent="0.3">
      <c r="A129" t="str">
        <f>"02-7220-01116"</f>
        <v>02-7220-01116</v>
      </c>
      <c r="B129" t="s">
        <v>1689</v>
      </c>
    </row>
    <row r="130" spans="1:2" x14ac:dyDescent="0.3">
      <c r="A130" t="str">
        <f>"02-7220-08106"</f>
        <v>02-7220-08106</v>
      </c>
      <c r="B130" t="s">
        <v>1004</v>
      </c>
    </row>
    <row r="131" spans="1:2" x14ac:dyDescent="0.3">
      <c r="A131" t="str">
        <f>"02-7220-08111"</f>
        <v>02-7220-08111</v>
      </c>
      <c r="B131" t="s">
        <v>1003</v>
      </c>
    </row>
    <row r="132" spans="1:2" x14ac:dyDescent="0.3">
      <c r="A132" t="str">
        <f>"02-7220-08112"</f>
        <v>02-7220-08112</v>
      </c>
      <c r="B132" t="s">
        <v>1002</v>
      </c>
    </row>
    <row r="133" spans="1:2" x14ac:dyDescent="0.3">
      <c r="A133" t="str">
        <f>"02-7220-11102"</f>
        <v>02-7220-11102</v>
      </c>
      <c r="B133" t="s">
        <v>1721</v>
      </c>
    </row>
    <row r="134" spans="1:2" x14ac:dyDescent="0.3">
      <c r="A134" t="str">
        <f>"02-7240-03118"</f>
        <v>02-7240-03118</v>
      </c>
      <c r="B134" t="s">
        <v>1317</v>
      </c>
    </row>
    <row r="135" spans="1:2" x14ac:dyDescent="0.3">
      <c r="A135" t="str">
        <f>"02-7240-03122"</f>
        <v>02-7240-03122</v>
      </c>
      <c r="B135" t="s">
        <v>1316</v>
      </c>
    </row>
    <row r="136" spans="1:2" x14ac:dyDescent="0.3">
      <c r="A136" t="str">
        <f>"02-7240-03206"</f>
        <v>02-7240-03206</v>
      </c>
      <c r="B136" t="s">
        <v>1005</v>
      </c>
    </row>
    <row r="137" spans="1:2" x14ac:dyDescent="0.3">
      <c r="A137" t="str">
        <f>"02-7240-03422"</f>
        <v>02-7240-03422</v>
      </c>
      <c r="B137" t="s">
        <v>1318</v>
      </c>
    </row>
    <row r="138" spans="1:2" x14ac:dyDescent="0.3">
      <c r="A138" t="str">
        <f>"02-7240-05105"</f>
        <v>02-7240-05105</v>
      </c>
      <c r="B138" t="s">
        <v>1006</v>
      </c>
    </row>
    <row r="139" spans="1:2" x14ac:dyDescent="0.3">
      <c r="A139" t="str">
        <f>"02-7250-03126"</f>
        <v>02-7250-03126</v>
      </c>
      <c r="B139" t="s">
        <v>590</v>
      </c>
    </row>
    <row r="140" spans="1:2" x14ac:dyDescent="0.3">
      <c r="A140" t="str">
        <f>"02-7250-03139"</f>
        <v>02-7250-03139</v>
      </c>
      <c r="B140" t="s">
        <v>1007</v>
      </c>
    </row>
    <row r="141" spans="1:2" x14ac:dyDescent="0.3">
      <c r="A141" t="str">
        <f>"02-7250-03605"</f>
        <v>02-7250-03605</v>
      </c>
      <c r="B141" t="s">
        <v>1009</v>
      </c>
    </row>
    <row r="142" spans="1:2" x14ac:dyDescent="0.3">
      <c r="A142" t="str">
        <f>"02-7250-03805"</f>
        <v>02-7250-03805</v>
      </c>
      <c r="B142" t="s">
        <v>1008</v>
      </c>
    </row>
    <row r="143" spans="1:2" x14ac:dyDescent="0.3">
      <c r="A143" t="str">
        <f>"02-7310-04100"</f>
        <v>02-7310-04100</v>
      </c>
      <c r="B143" t="s">
        <v>278</v>
      </c>
    </row>
    <row r="144" spans="1:2" x14ac:dyDescent="0.3">
      <c r="A144" t="str">
        <f>"02-7310-04115"</f>
        <v>02-7310-04115</v>
      </c>
      <c r="B144" t="s">
        <v>278</v>
      </c>
    </row>
    <row r="145" spans="1:2" x14ac:dyDescent="0.3">
      <c r="A145" t="str">
        <f>"02-7310-04300"</f>
        <v>02-7310-04300</v>
      </c>
      <c r="B145" t="s">
        <v>1010</v>
      </c>
    </row>
    <row r="146" spans="1:2" x14ac:dyDescent="0.3">
      <c r="A146" t="str">
        <f>"02-7310-04310"</f>
        <v>02-7310-04310</v>
      </c>
      <c r="B146" t="s">
        <v>1010</v>
      </c>
    </row>
    <row r="147" spans="1:2" x14ac:dyDescent="0.3">
      <c r="A147" t="str">
        <f>"02-7310-04442"</f>
        <v>02-7310-04442</v>
      </c>
      <c r="B147" t="s">
        <v>1340</v>
      </c>
    </row>
    <row r="148" spans="1:2" x14ac:dyDescent="0.3">
      <c r="A148" t="str">
        <f>"02-7310-04732"</f>
        <v>02-7310-04732</v>
      </c>
      <c r="B148" t="s">
        <v>278</v>
      </c>
    </row>
    <row r="149" spans="1:2" x14ac:dyDescent="0.3">
      <c r="A149" t="str">
        <f>"02-7310-04740"</f>
        <v>02-7310-04740</v>
      </c>
      <c r="B149" t="s">
        <v>1011</v>
      </c>
    </row>
    <row r="150" spans="1:2" x14ac:dyDescent="0.3">
      <c r="A150" t="str">
        <f>"02-7320-01101"</f>
        <v>02-7320-01101</v>
      </c>
      <c r="B150" t="s">
        <v>1012</v>
      </c>
    </row>
    <row r="151" spans="1:2" x14ac:dyDescent="0.3">
      <c r="A151" t="str">
        <f>"02-7320-02101"</f>
        <v>02-7320-02101</v>
      </c>
      <c r="B151" t="s">
        <v>1013</v>
      </c>
    </row>
    <row r="152" spans="1:2" x14ac:dyDescent="0.3">
      <c r="A152" t="str">
        <f>"02-7320-02110"</f>
        <v>02-7320-02110</v>
      </c>
      <c r="B152" t="s">
        <v>1777</v>
      </c>
    </row>
    <row r="153" spans="1:2" x14ac:dyDescent="0.3">
      <c r="A153" t="str">
        <f>"02-7320-02111"</f>
        <v>02-7320-02111</v>
      </c>
      <c r="B153" t="s">
        <v>1778</v>
      </c>
    </row>
    <row r="154" spans="1:2" x14ac:dyDescent="0.3">
      <c r="A154" t="str">
        <f>"02-7320-02112"</f>
        <v>02-7320-02112</v>
      </c>
      <c r="B154" t="s">
        <v>1779</v>
      </c>
    </row>
    <row r="155" spans="1:2" x14ac:dyDescent="0.3">
      <c r="A155" t="str">
        <f>"02-7320-02113"</f>
        <v>02-7320-02113</v>
      </c>
      <c r="B155" t="s">
        <v>1780</v>
      </c>
    </row>
    <row r="156" spans="1:2" x14ac:dyDescent="0.3">
      <c r="A156" t="str">
        <f>"02-7320-02115"</f>
        <v>02-7320-02115</v>
      </c>
      <c r="B156" t="s">
        <v>1781</v>
      </c>
    </row>
    <row r="157" spans="1:2" x14ac:dyDescent="0.3">
      <c r="A157" t="str">
        <f>"02-7320-05100"</f>
        <v>02-7320-05100</v>
      </c>
      <c r="B157" t="s">
        <v>1014</v>
      </c>
    </row>
    <row r="158" spans="1:2" x14ac:dyDescent="0.3">
      <c r="A158" t="str">
        <f>"02-7810-06301"</f>
        <v>02-7810-06301</v>
      </c>
      <c r="B158" t="s">
        <v>1015</v>
      </c>
    </row>
    <row r="159" spans="1:2" x14ac:dyDescent="0.3">
      <c r="A159" t="str">
        <f>"02-7856-0100"</f>
        <v>02-7856-0100</v>
      </c>
      <c r="B159" t="s">
        <v>1144</v>
      </c>
    </row>
    <row r="160" spans="1:2" x14ac:dyDescent="0.3">
      <c r="A160" t="str">
        <f>"02-8010-13220"</f>
        <v>02-8010-13220</v>
      </c>
      <c r="B160" t="s">
        <v>830</v>
      </c>
    </row>
    <row r="161" spans="1:2" x14ac:dyDescent="0.3">
      <c r="A161" t="str">
        <f>"02-9150-52100"</f>
        <v>02-9150-52100</v>
      </c>
      <c r="B161" t="s">
        <v>1016</v>
      </c>
    </row>
    <row r="162" spans="1:2" x14ac:dyDescent="0.3">
      <c r="A162" t="str">
        <f>"02-9900-90030"</f>
        <v>02-9900-90030</v>
      </c>
      <c r="B162" t="s">
        <v>1017</v>
      </c>
    </row>
    <row r="163" spans="1:2" x14ac:dyDescent="0.3">
      <c r="A163" t="str">
        <f>"02G21382"</f>
        <v>02G21382</v>
      </c>
    </row>
    <row r="164" spans="1:2" x14ac:dyDescent="0.3">
      <c r="A164" t="str">
        <f>"030-1975-009"</f>
        <v>030-1975-009</v>
      </c>
      <c r="B164" t="s">
        <v>20</v>
      </c>
    </row>
    <row r="165" spans="1:2" x14ac:dyDescent="0.3">
      <c r="A165" t="str">
        <f>"030-9081-003"</f>
        <v>030-9081-003</v>
      </c>
      <c r="B165" t="s">
        <v>2307</v>
      </c>
    </row>
    <row r="166" spans="1:2" x14ac:dyDescent="0.3">
      <c r="A166" t="str">
        <f>"030-9083-012"</f>
        <v>030-9083-012</v>
      </c>
      <c r="B166" t="s">
        <v>1464</v>
      </c>
    </row>
    <row r="167" spans="1:2" x14ac:dyDescent="0.3">
      <c r="A167" t="str">
        <f>"031-00390-0000"</f>
        <v>031-00390-0000</v>
      </c>
      <c r="B167" t="s">
        <v>2842</v>
      </c>
    </row>
    <row r="168" spans="1:2" x14ac:dyDescent="0.3">
      <c r="A168" t="str">
        <f>"031-00763-0683"</f>
        <v>031-00763-0683</v>
      </c>
      <c r="B168" t="s">
        <v>13</v>
      </c>
    </row>
    <row r="169" spans="1:2" x14ac:dyDescent="0.3">
      <c r="A169" t="str">
        <f>"0310196-12"</f>
        <v>0310196-12</v>
      </c>
      <c r="B169" t="s">
        <v>136</v>
      </c>
    </row>
    <row r="170" spans="1:2" x14ac:dyDescent="0.3">
      <c r="A170" t="str">
        <f>"031-1287-000"</f>
        <v>031-1287-000</v>
      </c>
      <c r="B170" t="s">
        <v>20</v>
      </c>
    </row>
    <row r="171" spans="1:2" x14ac:dyDescent="0.3">
      <c r="A171" t="str">
        <f>"03116"</f>
        <v>03116</v>
      </c>
      <c r="B171" t="s">
        <v>854</v>
      </c>
    </row>
    <row r="172" spans="1:2" x14ac:dyDescent="0.3">
      <c r="A172" t="str">
        <f>"031-613-4"</f>
        <v>031-613-4</v>
      </c>
      <c r="B172" t="s">
        <v>4022</v>
      </c>
    </row>
    <row r="173" spans="1:2" x14ac:dyDescent="0.3">
      <c r="A173" t="str">
        <f>"032757"</f>
        <v>032757</v>
      </c>
      <c r="B173" t="s">
        <v>188</v>
      </c>
    </row>
    <row r="174" spans="1:2" x14ac:dyDescent="0.3">
      <c r="A174" t="str">
        <f>"03-4006-0000"</f>
        <v>03-4006-0000</v>
      </c>
      <c r="B174" t="s">
        <v>1145</v>
      </c>
    </row>
    <row r="175" spans="1:2" x14ac:dyDescent="0.3">
      <c r="A175" t="str">
        <f>"036-00057-0010"</f>
        <v>036-00057-0010</v>
      </c>
      <c r="B175" t="s">
        <v>264</v>
      </c>
    </row>
    <row r="176" spans="1:2" x14ac:dyDescent="0.3">
      <c r="A176" t="str">
        <f>"039-05-156-91"</f>
        <v>039-05-156-91</v>
      </c>
      <c r="B176" t="s">
        <v>129</v>
      </c>
    </row>
    <row r="177" spans="1:2" x14ac:dyDescent="0.3">
      <c r="A177" t="str">
        <f>"040-07700"</f>
        <v>040-07700</v>
      </c>
      <c r="B177" t="s">
        <v>789</v>
      </c>
    </row>
    <row r="178" spans="1:2" x14ac:dyDescent="0.3">
      <c r="A178" t="str">
        <f>"040-414A"</f>
        <v>040-414A</v>
      </c>
      <c r="B178" t="s">
        <v>1692</v>
      </c>
    </row>
    <row r="179" spans="1:2" x14ac:dyDescent="0.3">
      <c r="A179" t="str">
        <f>"042252-1"</f>
        <v>042252-1</v>
      </c>
      <c r="B179" t="s">
        <v>22</v>
      </c>
    </row>
    <row r="180" spans="1:2" x14ac:dyDescent="0.3">
      <c r="A180" t="str">
        <f>"042252-3"</f>
        <v>042252-3</v>
      </c>
      <c r="B180" t="s">
        <v>22</v>
      </c>
    </row>
    <row r="181" spans="1:2" x14ac:dyDescent="0.3">
      <c r="A181" t="str">
        <f>"0450277-212"</f>
        <v>0450277-212</v>
      </c>
      <c r="B181" t="s">
        <v>2314</v>
      </c>
    </row>
    <row r="182" spans="1:2" x14ac:dyDescent="0.3">
      <c r="A182" t="str">
        <f>"0450277-215"</f>
        <v>0450277-215</v>
      </c>
      <c r="B182" t="s">
        <v>2314</v>
      </c>
    </row>
    <row r="183" spans="1:2" x14ac:dyDescent="0.3">
      <c r="A183" t="str">
        <f>"046-35-1-999-3211"</f>
        <v>046-35-1-999-3211</v>
      </c>
      <c r="B183" t="s">
        <v>4690</v>
      </c>
    </row>
    <row r="184" spans="1:2" x14ac:dyDescent="0.3">
      <c r="A184" t="str">
        <f>"046-55-999-0231"</f>
        <v>046-55-999-0231</v>
      </c>
      <c r="B184" t="s">
        <v>3760</v>
      </c>
    </row>
    <row r="185" spans="1:2" x14ac:dyDescent="0.3">
      <c r="A185" t="str">
        <f>"046-E0284-01"</f>
        <v>046-E0284-01</v>
      </c>
      <c r="B185" t="s">
        <v>498</v>
      </c>
    </row>
    <row r="186" spans="1:2" x14ac:dyDescent="0.3">
      <c r="A186" t="str">
        <f>"050554-2"</f>
        <v>050554-2</v>
      </c>
      <c r="B186" t="s">
        <v>132</v>
      </c>
    </row>
    <row r="187" spans="1:2" x14ac:dyDescent="0.3">
      <c r="A187" t="str">
        <f>"0513230-42"</f>
        <v>0513230-42</v>
      </c>
      <c r="B187" t="s">
        <v>3</v>
      </c>
    </row>
    <row r="188" spans="1:2" x14ac:dyDescent="0.3">
      <c r="A188" t="str">
        <f>"0541202-4"</f>
        <v>0541202-4</v>
      </c>
      <c r="B188" t="s">
        <v>956</v>
      </c>
    </row>
    <row r="189" spans="1:2" x14ac:dyDescent="0.3">
      <c r="A189" t="str">
        <f>"0542-3"</f>
        <v>0542-3</v>
      </c>
      <c r="B189" t="s">
        <v>1986</v>
      </c>
    </row>
    <row r="190" spans="1:2" x14ac:dyDescent="0.3">
      <c r="A190" t="str">
        <f>"0550364-6"</f>
        <v>0550364-6</v>
      </c>
      <c r="B190" t="s">
        <v>2141</v>
      </c>
    </row>
    <row r="191" spans="1:2" x14ac:dyDescent="0.3">
      <c r="A191" t="str">
        <f>"0552155-1"</f>
        <v>0552155-1</v>
      </c>
      <c r="B191" t="s">
        <v>2315</v>
      </c>
    </row>
    <row r="192" spans="1:2" x14ac:dyDescent="0.3">
      <c r="A192" t="str">
        <f>"0552227-1"</f>
        <v>0552227-1</v>
      </c>
      <c r="B192" t="s">
        <v>381</v>
      </c>
    </row>
    <row r="193" spans="1:2" x14ac:dyDescent="0.3">
      <c r="A193" t="str">
        <f>"057-0078-01"</f>
        <v>057-0078-01</v>
      </c>
      <c r="B193" t="s">
        <v>1365</v>
      </c>
    </row>
    <row r="194" spans="1:2" x14ac:dyDescent="0.3">
      <c r="A194" t="str">
        <f>"058-001-00"</f>
        <v>058-001-00</v>
      </c>
      <c r="B194" t="s">
        <v>13</v>
      </c>
    </row>
    <row r="195" spans="1:2" x14ac:dyDescent="0.3">
      <c r="A195" t="str">
        <f>"062007"</f>
        <v>062007</v>
      </c>
      <c r="B195" t="s">
        <v>246</v>
      </c>
    </row>
    <row r="196" spans="1:2" x14ac:dyDescent="0.3">
      <c r="A196" t="str">
        <f>"06-4035-0500"</f>
        <v>06-4035-0500</v>
      </c>
      <c r="B196" t="s">
        <v>1151</v>
      </c>
    </row>
    <row r="197" spans="1:2" x14ac:dyDescent="0.3">
      <c r="A197" t="str">
        <f>"066-10500"</f>
        <v>066-10500</v>
      </c>
      <c r="B197" t="s">
        <v>1804</v>
      </c>
    </row>
    <row r="198" spans="1:2" x14ac:dyDescent="0.3">
      <c r="A198" t="str">
        <f>"066-14100"</f>
        <v>066-14100</v>
      </c>
      <c r="B198" t="s">
        <v>845</v>
      </c>
    </row>
    <row r="199" spans="1:2" x14ac:dyDescent="0.3">
      <c r="A199" t="str">
        <f>"066-50000-2220"</f>
        <v>066-50000-2220</v>
      </c>
      <c r="B199" t="s">
        <v>2095</v>
      </c>
    </row>
    <row r="200" spans="1:2" x14ac:dyDescent="0.3">
      <c r="A200" s="1" t="s">
        <v>841</v>
      </c>
      <c r="B200" t="s">
        <v>336</v>
      </c>
    </row>
    <row r="201" spans="1:2" x14ac:dyDescent="0.3">
      <c r="A201" s="1" t="s">
        <v>1823</v>
      </c>
      <c r="B201" t="s">
        <v>336</v>
      </c>
    </row>
    <row r="202" spans="1:2" x14ac:dyDescent="0.3">
      <c r="A202" t="str">
        <f>"0713348-1"</f>
        <v>0713348-1</v>
      </c>
      <c r="B202" t="s">
        <v>835</v>
      </c>
    </row>
    <row r="203" spans="1:2" x14ac:dyDescent="0.3">
      <c r="A203" t="str">
        <f>"0721105-12"</f>
        <v>0721105-12</v>
      </c>
      <c r="B203" t="s">
        <v>2382</v>
      </c>
    </row>
    <row r="204" spans="1:2" x14ac:dyDescent="0.3">
      <c r="A204" t="str">
        <f>"0723205-15"</f>
        <v>0723205-15</v>
      </c>
      <c r="B204" t="s">
        <v>751</v>
      </c>
    </row>
    <row r="205" spans="1:2" x14ac:dyDescent="0.3">
      <c r="A205" t="str">
        <f>"07322P219-70"</f>
        <v>07322P219-70</v>
      </c>
      <c r="B205" t="s">
        <v>2173</v>
      </c>
    </row>
    <row r="206" spans="1:2" x14ac:dyDescent="0.3">
      <c r="A206" t="str">
        <f>"07322P221-70"</f>
        <v>07322P221-70</v>
      </c>
      <c r="B206" t="s">
        <v>2174</v>
      </c>
    </row>
    <row r="207" spans="1:2" x14ac:dyDescent="0.3">
      <c r="A207" t="str">
        <f>"0756038-1"</f>
        <v>0756038-1</v>
      </c>
      <c r="B207" t="s">
        <v>2316</v>
      </c>
    </row>
    <row r="208" spans="1:2" x14ac:dyDescent="0.3">
      <c r="A208" t="str">
        <f>"0756041-1"</f>
        <v>0756041-1</v>
      </c>
      <c r="B208" t="s">
        <v>2317</v>
      </c>
    </row>
    <row r="209" spans="1:2" x14ac:dyDescent="0.3">
      <c r="A209" t="str">
        <f>"076-01762-0003"</f>
        <v>076-01762-0003</v>
      </c>
      <c r="B209" t="s">
        <v>470</v>
      </c>
    </row>
    <row r="210" spans="1:2" x14ac:dyDescent="0.3">
      <c r="A210" t="str">
        <f>"076-02132-0002"</f>
        <v>076-02132-0002</v>
      </c>
      <c r="B210" t="s">
        <v>470</v>
      </c>
    </row>
    <row r="211" spans="1:2" x14ac:dyDescent="0.3">
      <c r="A211" t="str">
        <f>"076-02132-0003"</f>
        <v>076-02132-0003</v>
      </c>
      <c r="B211" t="s">
        <v>470</v>
      </c>
    </row>
    <row r="212" spans="1:2" x14ac:dyDescent="0.3">
      <c r="A212" t="str">
        <f>"079-00300"</f>
        <v>079-00300</v>
      </c>
      <c r="B212" t="s">
        <v>1854</v>
      </c>
    </row>
    <row r="213" spans="1:2" x14ac:dyDescent="0.3">
      <c r="A213" t="str">
        <f>"079-017"</f>
        <v>079-017</v>
      </c>
      <c r="B213" t="s">
        <v>1018</v>
      </c>
    </row>
    <row r="214" spans="1:2" x14ac:dyDescent="0.3">
      <c r="A214" t="str">
        <f>"079S038"</f>
        <v>079S038</v>
      </c>
      <c r="B214" t="s">
        <v>173</v>
      </c>
    </row>
    <row r="215" spans="1:2" x14ac:dyDescent="0.3">
      <c r="A215" t="str">
        <f>"07A19474"</f>
        <v>07A19474</v>
      </c>
      <c r="B215" t="s">
        <v>1855</v>
      </c>
    </row>
    <row r="216" spans="1:2" x14ac:dyDescent="0.3">
      <c r="A216" t="str">
        <f>"08-0102-4010"</f>
        <v>08-0102-4010</v>
      </c>
      <c r="B216" t="s">
        <v>1147</v>
      </c>
    </row>
    <row r="217" spans="1:2" x14ac:dyDescent="0.3">
      <c r="A217" t="str">
        <f>"08-0119-8000"</f>
        <v>08-0119-8000</v>
      </c>
      <c r="B217" t="s">
        <v>1457</v>
      </c>
    </row>
    <row r="218" spans="1:2" x14ac:dyDescent="0.3">
      <c r="A218" t="str">
        <f>"081-00100"</f>
        <v>081-00100</v>
      </c>
      <c r="B218" t="s">
        <v>1853</v>
      </c>
    </row>
    <row r="219" spans="1:2" x14ac:dyDescent="0.3">
      <c r="A219" t="str">
        <f>"08125-20629"</f>
        <v>08125-20629</v>
      </c>
      <c r="B219" t="s">
        <v>1093</v>
      </c>
    </row>
    <row r="220" spans="1:2" x14ac:dyDescent="0.3">
      <c r="A220" t="str">
        <f>"08-2021C0000"</f>
        <v>08-2021C0000</v>
      </c>
      <c r="B220" t="s">
        <v>1454</v>
      </c>
    </row>
    <row r="221" spans="1:2" x14ac:dyDescent="0.3">
      <c r="A221" t="str">
        <f>"08231-20629"</f>
        <v>08231-20629</v>
      </c>
      <c r="B221" t="s">
        <v>1093</v>
      </c>
    </row>
    <row r="222" spans="1:2" x14ac:dyDescent="0.3">
      <c r="A222" t="str">
        <f>"08410-0017-0002"</f>
        <v>08410-0017-0002</v>
      </c>
      <c r="B222" t="s">
        <v>1652</v>
      </c>
    </row>
    <row r="223" spans="1:2" x14ac:dyDescent="0.3">
      <c r="A223" t="str">
        <f>"08420-0027-0002"</f>
        <v>08420-0027-0002</v>
      </c>
      <c r="B223" t="s">
        <v>4503</v>
      </c>
    </row>
    <row r="224" spans="1:2" x14ac:dyDescent="0.3">
      <c r="A224" t="str">
        <f>"084930-04500"</f>
        <v>084930-04500</v>
      </c>
      <c r="B224" t="s">
        <v>151</v>
      </c>
    </row>
    <row r="225" spans="1:2" x14ac:dyDescent="0.3">
      <c r="A225" t="str">
        <f>"088-00943-0001"</f>
        <v>088-00943-0001</v>
      </c>
      <c r="B225" t="s">
        <v>489</v>
      </c>
    </row>
    <row r="226" spans="1:2" x14ac:dyDescent="0.3">
      <c r="A226" t="str">
        <f>"088-03409-0002"</f>
        <v>088-03409-0002</v>
      </c>
      <c r="B226" t="s">
        <v>4758</v>
      </c>
    </row>
    <row r="227" spans="1:2" x14ac:dyDescent="0.3">
      <c r="A227" t="str">
        <f>"089-05442-0012"</f>
        <v>089-05442-0012</v>
      </c>
    </row>
    <row r="228" spans="1:2" x14ac:dyDescent="0.3">
      <c r="A228" t="str">
        <f>"093382-000"</f>
        <v>093382-000</v>
      </c>
      <c r="B228" t="s">
        <v>3057</v>
      </c>
    </row>
    <row r="229" spans="1:2" x14ac:dyDescent="0.3">
      <c r="A229" t="str">
        <f>"094-10100"</f>
        <v>094-10100</v>
      </c>
      <c r="B229" t="s">
        <v>246</v>
      </c>
    </row>
    <row r="230" spans="1:2" x14ac:dyDescent="0.3">
      <c r="A230" t="str">
        <f>"094-10300"</f>
        <v>094-10300</v>
      </c>
      <c r="B230" t="s">
        <v>1096</v>
      </c>
    </row>
    <row r="231" spans="1:2" x14ac:dyDescent="0.3">
      <c r="A231" t="str">
        <f>"094-10400"</f>
        <v>094-10400</v>
      </c>
      <c r="B231" t="s">
        <v>246</v>
      </c>
    </row>
    <row r="232" spans="1:2" x14ac:dyDescent="0.3">
      <c r="A232" t="str">
        <f>"094-10401"</f>
        <v>094-10401</v>
      </c>
      <c r="B232" t="s">
        <v>246</v>
      </c>
    </row>
    <row r="233" spans="1:2" x14ac:dyDescent="0.3">
      <c r="A233" t="str">
        <f>"095-10200"</f>
        <v>095-10200</v>
      </c>
      <c r="B233" t="s">
        <v>1172</v>
      </c>
    </row>
    <row r="234" spans="1:2" x14ac:dyDescent="0.3">
      <c r="A234" t="str">
        <f>"095-10500"</f>
        <v>095-10500</v>
      </c>
      <c r="B234" t="s">
        <v>353</v>
      </c>
    </row>
    <row r="235" spans="1:2" x14ac:dyDescent="0.3">
      <c r="A235" t="str">
        <f>"096000"</f>
        <v>096000</v>
      </c>
      <c r="B235" t="s">
        <v>1877</v>
      </c>
    </row>
    <row r="236" spans="1:2" x14ac:dyDescent="0.3">
      <c r="A236" t="str">
        <f>"0F25-020"</f>
        <v>0F25-020</v>
      </c>
      <c r="B236" t="s">
        <v>188</v>
      </c>
    </row>
    <row r="237" spans="1:2" x14ac:dyDescent="0.3">
      <c r="A237" t="str">
        <f>"0F25-021"</f>
        <v>0F25-021</v>
      </c>
      <c r="B237" t="s">
        <v>151</v>
      </c>
    </row>
    <row r="238" spans="1:2" x14ac:dyDescent="0.3">
      <c r="A238" t="str">
        <f>"0FV0000A11G02"</f>
        <v>0FV0000A11G02</v>
      </c>
      <c r="B238" t="s">
        <v>3293</v>
      </c>
    </row>
    <row r="239" spans="1:2" x14ac:dyDescent="0.3">
      <c r="A239" t="str">
        <f>"0L6832IBPEAS15GPL"</f>
        <v>0L6832IBPEAS15GPL</v>
      </c>
      <c r="B239" t="s">
        <v>11</v>
      </c>
    </row>
    <row r="240" spans="1:2" x14ac:dyDescent="0.3">
      <c r="A240" t="str">
        <f>"0MP2505-2"</f>
        <v>0MP2505-2</v>
      </c>
      <c r="B240" t="s">
        <v>2632</v>
      </c>
    </row>
    <row r="241" spans="1:2" x14ac:dyDescent="0.3">
      <c r="A241" t="str">
        <f>"100-0302-01"</f>
        <v>100-0302-01</v>
      </c>
      <c r="B241" t="s">
        <v>3334</v>
      </c>
    </row>
    <row r="242" spans="1:2" x14ac:dyDescent="0.3">
      <c r="A242" t="str">
        <f>"10003314"</f>
        <v>10003314</v>
      </c>
      <c r="B242" t="s">
        <v>1419</v>
      </c>
    </row>
    <row r="243" spans="1:2" x14ac:dyDescent="0.3">
      <c r="A243" t="str">
        <f>"10004-119"</f>
        <v>10004-119</v>
      </c>
      <c r="B243" t="s">
        <v>173</v>
      </c>
    </row>
    <row r="244" spans="1:2" x14ac:dyDescent="0.3">
      <c r="A244" t="str">
        <f>"10004-904"</f>
        <v>10004-904</v>
      </c>
      <c r="B244" t="s">
        <v>173</v>
      </c>
    </row>
    <row r="245" spans="1:2" x14ac:dyDescent="0.3">
      <c r="A245" t="str">
        <f>"100-05-356"</f>
        <v>100-05-356</v>
      </c>
      <c r="B245" t="s">
        <v>1327</v>
      </c>
    </row>
    <row r="246" spans="1:2" x14ac:dyDescent="0.3">
      <c r="A246" t="str">
        <f>"100078"</f>
        <v>100078</v>
      </c>
      <c r="B246" t="s">
        <v>2257</v>
      </c>
    </row>
    <row r="247" spans="1:2" x14ac:dyDescent="0.3">
      <c r="A247" t="str">
        <f>"100094"</f>
        <v>100094</v>
      </c>
      <c r="B247" t="s">
        <v>2259</v>
      </c>
    </row>
    <row r="248" spans="1:2" x14ac:dyDescent="0.3">
      <c r="A248" t="str">
        <f>"100-10062-00"</f>
        <v>100-10062-00</v>
      </c>
      <c r="B248" t="s">
        <v>4349</v>
      </c>
    </row>
    <row r="249" spans="1:2" x14ac:dyDescent="0.3">
      <c r="A249" t="str">
        <f>"1-001-0320-0002"</f>
        <v>1-001-0320-0002</v>
      </c>
      <c r="B249" t="s">
        <v>133</v>
      </c>
    </row>
    <row r="250" spans="1:2" x14ac:dyDescent="0.3">
      <c r="A250" t="str">
        <f>"1-001-0320-0018"</f>
        <v>1-001-0320-0018</v>
      </c>
      <c r="B250" t="s">
        <v>133</v>
      </c>
    </row>
    <row r="251" spans="1:2" x14ac:dyDescent="0.3">
      <c r="A251" t="str">
        <f>"1-001-0412-0002"</f>
        <v>1-001-0412-0002</v>
      </c>
      <c r="B251" t="s">
        <v>2145</v>
      </c>
    </row>
    <row r="252" spans="1:2" x14ac:dyDescent="0.3">
      <c r="A252" t="str">
        <f>"1-001-0607-0146"</f>
        <v>1-001-0607-0146</v>
      </c>
      <c r="B252" t="s">
        <v>481</v>
      </c>
    </row>
    <row r="253" spans="1:2" x14ac:dyDescent="0.3">
      <c r="A253" t="str">
        <f>"100-10-909"</f>
        <v>100-10-909</v>
      </c>
      <c r="B253" t="s">
        <v>1327</v>
      </c>
    </row>
    <row r="254" spans="1:2" x14ac:dyDescent="0.3">
      <c r="A254" t="str">
        <f>"1-001-1304-0059"</f>
        <v>1-001-1304-0059</v>
      </c>
      <c r="B254" t="s">
        <v>2309</v>
      </c>
    </row>
    <row r="255" spans="1:2" x14ac:dyDescent="0.3">
      <c r="A255" t="str">
        <f>"1-001-2501-0187"</f>
        <v>1-001-2501-0187</v>
      </c>
      <c r="B255" t="s">
        <v>1466</v>
      </c>
    </row>
    <row r="256" spans="1:2" x14ac:dyDescent="0.3">
      <c r="A256" t="str">
        <f>"1-001-3001-0043"</f>
        <v>1-001-3001-0043</v>
      </c>
      <c r="B256" t="s">
        <v>1466</v>
      </c>
    </row>
    <row r="257" spans="1:2" x14ac:dyDescent="0.3">
      <c r="A257" t="str">
        <f>"10013825"</f>
        <v>10013825</v>
      </c>
      <c r="B257" t="s">
        <v>1746</v>
      </c>
    </row>
    <row r="258" spans="1:2" x14ac:dyDescent="0.3">
      <c r="A258" t="str">
        <f>"1-001-6301-0008"</f>
        <v>1-001-6301-0008</v>
      </c>
      <c r="B258" t="s">
        <v>1554</v>
      </c>
    </row>
    <row r="259" spans="1:2" x14ac:dyDescent="0.3">
      <c r="A259" t="str">
        <f>"100172L303"</f>
        <v>100172L303</v>
      </c>
      <c r="B259" t="s">
        <v>3511</v>
      </c>
    </row>
    <row r="260" spans="1:2" x14ac:dyDescent="0.3">
      <c r="A260" t="str">
        <f>"1001774-1"</f>
        <v>1001774-1</v>
      </c>
      <c r="B260" t="s">
        <v>136</v>
      </c>
    </row>
    <row r="261" spans="1:2" x14ac:dyDescent="0.3">
      <c r="A261" t="str">
        <f>"1001788-1"</f>
        <v>1001788-1</v>
      </c>
      <c r="B261" t="s">
        <v>3162</v>
      </c>
    </row>
    <row r="262" spans="1:2" x14ac:dyDescent="0.3">
      <c r="A262" t="str">
        <f>"1002-0030-006"</f>
        <v>1002-0030-006</v>
      </c>
    </row>
    <row r="263" spans="1:2" x14ac:dyDescent="0.3">
      <c r="A263" t="str">
        <f>"1-002-0102-2052"</f>
        <v>1-002-0102-2052</v>
      </c>
      <c r="B263" t="s">
        <v>4331</v>
      </c>
    </row>
    <row r="264" spans="1:2" x14ac:dyDescent="0.3">
      <c r="A264" t="str">
        <f>"1-002-0102-2062"</f>
        <v>1-002-0102-2062</v>
      </c>
      <c r="B264" t="s">
        <v>482</v>
      </c>
    </row>
    <row r="265" spans="1:2" x14ac:dyDescent="0.3">
      <c r="A265" t="str">
        <f>"1-002-0102-2090"</f>
        <v>1-002-0102-2090</v>
      </c>
      <c r="B265" t="s">
        <v>482</v>
      </c>
    </row>
    <row r="266" spans="1:2" x14ac:dyDescent="0.3">
      <c r="A266" t="str">
        <f>"100-212-2397"</f>
        <v>100-212-2397</v>
      </c>
      <c r="B266" t="s">
        <v>188</v>
      </c>
    </row>
    <row r="267" spans="1:2" x14ac:dyDescent="0.3">
      <c r="A267" t="str">
        <f>"1003106-001"</f>
        <v>1003106-001</v>
      </c>
      <c r="B267" t="s">
        <v>4660</v>
      </c>
    </row>
    <row r="268" spans="1:2" x14ac:dyDescent="0.3">
      <c r="A268" t="str">
        <f>"1003107-001"</f>
        <v>1003107-001</v>
      </c>
      <c r="B268" t="s">
        <v>4792</v>
      </c>
    </row>
    <row r="269" spans="1:2" x14ac:dyDescent="0.3">
      <c r="A269" t="str">
        <f>"10037-1000-0154"</f>
        <v>10037-1000-0154</v>
      </c>
      <c r="B269" t="s">
        <v>2087</v>
      </c>
    </row>
    <row r="270" spans="1:2" x14ac:dyDescent="0.3">
      <c r="A270" t="str">
        <f>"10037-1000-0156"</f>
        <v>10037-1000-0156</v>
      </c>
      <c r="B270" t="s">
        <v>2087</v>
      </c>
    </row>
    <row r="271" spans="1:2" x14ac:dyDescent="0.3">
      <c r="A271" t="str">
        <f>"100-384040"</f>
        <v>100-384040</v>
      </c>
      <c r="B271" t="s">
        <v>1968</v>
      </c>
    </row>
    <row r="272" spans="1:2" x14ac:dyDescent="0.3">
      <c r="A272" t="str">
        <f>"100430"</f>
        <v>100430</v>
      </c>
      <c r="B272" t="s">
        <v>2259</v>
      </c>
    </row>
    <row r="273" spans="1:2" x14ac:dyDescent="0.3">
      <c r="A273" t="str">
        <f>"100431"</f>
        <v>100431</v>
      </c>
      <c r="B273" t="s">
        <v>2260</v>
      </c>
    </row>
    <row r="274" spans="1:2" x14ac:dyDescent="0.3">
      <c r="A274" t="str">
        <f>"10057-7"</f>
        <v>10057-7</v>
      </c>
      <c r="B274" t="s">
        <v>1572</v>
      </c>
    </row>
    <row r="275" spans="1:2" x14ac:dyDescent="0.3">
      <c r="A275" t="str">
        <f>"100593"</f>
        <v>100593</v>
      </c>
      <c r="B275" t="s">
        <v>2258</v>
      </c>
    </row>
    <row r="276" spans="1:2" x14ac:dyDescent="0.3">
      <c r="A276" t="str">
        <f>"100594"</f>
        <v>100594</v>
      </c>
      <c r="B276" t="s">
        <v>2258</v>
      </c>
    </row>
    <row r="277" spans="1:2" x14ac:dyDescent="0.3">
      <c r="A277" t="str">
        <f>"100694"</f>
        <v>100694</v>
      </c>
      <c r="B277" t="s">
        <v>353</v>
      </c>
    </row>
    <row r="278" spans="1:2" x14ac:dyDescent="0.3">
      <c r="A278" t="str">
        <f>"100713"</f>
        <v>100713</v>
      </c>
      <c r="B278" t="s">
        <v>173</v>
      </c>
    </row>
    <row r="279" spans="1:2" x14ac:dyDescent="0.3">
      <c r="A279" t="str">
        <f>"100818-1"</f>
        <v>100818-1</v>
      </c>
      <c r="B279" t="s">
        <v>136</v>
      </c>
    </row>
    <row r="280" spans="1:2" x14ac:dyDescent="0.3">
      <c r="A280" t="str">
        <f>"100-908-2397"</f>
        <v>100-908-2397</v>
      </c>
      <c r="B280" t="s">
        <v>188</v>
      </c>
    </row>
    <row r="281" spans="1:2" x14ac:dyDescent="0.3">
      <c r="A281" t="str">
        <f>"100-920-2397"</f>
        <v>100-920-2397</v>
      </c>
      <c r="B281" t="s">
        <v>188</v>
      </c>
    </row>
    <row r="282" spans="1:2" x14ac:dyDescent="0.3">
      <c r="A282" t="str">
        <f>"100930-1"</f>
        <v>100930-1</v>
      </c>
      <c r="B282" t="s">
        <v>353</v>
      </c>
    </row>
    <row r="283" spans="1:2" x14ac:dyDescent="0.3">
      <c r="A283" t="str">
        <f>"100931-1-112"</f>
        <v>100931-1-112</v>
      </c>
      <c r="B283" t="s">
        <v>4796</v>
      </c>
    </row>
    <row r="284" spans="1:2" x14ac:dyDescent="0.3">
      <c r="A284" t="str">
        <f>"100VK01C00BOON"</f>
        <v>100VK01C00BOON</v>
      </c>
      <c r="B284" t="s">
        <v>338</v>
      </c>
    </row>
    <row r="285" spans="1:2" x14ac:dyDescent="0.3">
      <c r="A285" t="str">
        <f>"100VK01D00BOON"</f>
        <v>100VK01D00BOON</v>
      </c>
      <c r="B285" t="s">
        <v>338</v>
      </c>
    </row>
    <row r="286" spans="1:2" x14ac:dyDescent="0.3">
      <c r="A286" t="str">
        <f>"100VK01F00BOON"</f>
        <v>100VK01F00BOON</v>
      </c>
      <c r="B286" t="s">
        <v>787</v>
      </c>
    </row>
    <row r="287" spans="1:2" x14ac:dyDescent="0.3">
      <c r="A287" t="str">
        <f>"10-102476"</f>
        <v>10-102476</v>
      </c>
      <c r="B287" t="s">
        <v>151</v>
      </c>
    </row>
    <row r="288" spans="1:2" x14ac:dyDescent="0.3">
      <c r="A288" t="str">
        <f>"10108CB-0804"</f>
        <v>10108CB-0804</v>
      </c>
      <c r="B288" t="s">
        <v>116</v>
      </c>
    </row>
    <row r="289" spans="1:2" x14ac:dyDescent="0.3">
      <c r="A289" t="str">
        <f>"1-01-10"</f>
        <v>1-01-10</v>
      </c>
      <c r="B289" t="s">
        <v>173</v>
      </c>
    </row>
    <row r="290" spans="1:2" x14ac:dyDescent="0.3">
      <c r="A290" t="str">
        <f>"1-01-11"</f>
        <v>1-01-11</v>
      </c>
      <c r="B290" t="s">
        <v>173</v>
      </c>
    </row>
    <row r="291" spans="1:2" x14ac:dyDescent="0.3">
      <c r="A291" t="str">
        <f>"1-01-13"</f>
        <v>1-01-13</v>
      </c>
      <c r="B291" t="s">
        <v>173</v>
      </c>
    </row>
    <row r="292" spans="1:2" x14ac:dyDescent="0.3">
      <c r="A292" t="str">
        <f>"10-1288-7"</f>
        <v>10-1288-7</v>
      </c>
      <c r="B292" t="s">
        <v>786</v>
      </c>
    </row>
    <row r="293" spans="1:2" x14ac:dyDescent="0.3">
      <c r="A293" t="str">
        <f>"10-1308-1"</f>
        <v>10-1308-1</v>
      </c>
      <c r="B293" t="s">
        <v>786</v>
      </c>
    </row>
    <row r="294" spans="1:2" x14ac:dyDescent="0.3">
      <c r="A294" t="str">
        <f>"10-1327-1015"</f>
        <v>10-1327-1015</v>
      </c>
      <c r="B294" t="s">
        <v>2955</v>
      </c>
    </row>
    <row r="295" spans="1:2" x14ac:dyDescent="0.3">
      <c r="A295" t="str">
        <f>"10-1327-1045"</f>
        <v>10-1327-1045</v>
      </c>
      <c r="B295" t="s">
        <v>4599</v>
      </c>
    </row>
    <row r="296" spans="1:2" x14ac:dyDescent="0.3">
      <c r="A296" t="str">
        <f>"10-1327-1051"</f>
        <v>10-1327-1051</v>
      </c>
      <c r="B296" t="s">
        <v>4599</v>
      </c>
    </row>
    <row r="297" spans="1:2" x14ac:dyDescent="0.3">
      <c r="A297" t="str">
        <f>"10-1331-112"</f>
        <v>10-1331-112</v>
      </c>
      <c r="B297" t="s">
        <v>489</v>
      </c>
    </row>
    <row r="298" spans="1:2" x14ac:dyDescent="0.3">
      <c r="A298" t="str">
        <f>"101-380039-1"</f>
        <v>101-380039-1</v>
      </c>
      <c r="B298" t="s">
        <v>1218</v>
      </c>
    </row>
    <row r="299" spans="1:2" x14ac:dyDescent="0.3">
      <c r="A299" t="str">
        <f>"101-384072-1"</f>
        <v>101-384072-1</v>
      </c>
      <c r="B299" t="s">
        <v>13</v>
      </c>
    </row>
    <row r="300" spans="1:2" x14ac:dyDescent="0.3">
      <c r="A300" t="str">
        <f>"101-384162-3"</f>
        <v>101-384162-3</v>
      </c>
      <c r="B300" t="s">
        <v>1925</v>
      </c>
    </row>
    <row r="301" spans="1:2" x14ac:dyDescent="0.3">
      <c r="A301" t="str">
        <f>"101-388015-5"</f>
        <v>101-388015-5</v>
      </c>
      <c r="B301" t="s">
        <v>893</v>
      </c>
    </row>
    <row r="302" spans="1:2" x14ac:dyDescent="0.3">
      <c r="A302" t="str">
        <f>"101-388016-1"</f>
        <v>101-388016-1</v>
      </c>
      <c r="B302" t="s">
        <v>1161</v>
      </c>
    </row>
    <row r="303" spans="1:2" x14ac:dyDescent="0.3">
      <c r="A303" t="str">
        <f>"101-388016-11"</f>
        <v>101-388016-11</v>
      </c>
      <c r="B303" t="s">
        <v>1282</v>
      </c>
    </row>
    <row r="304" spans="1:2" x14ac:dyDescent="0.3">
      <c r="A304" t="str">
        <f>"101-388016-3"</f>
        <v>101-388016-3</v>
      </c>
      <c r="B304" t="s">
        <v>1162</v>
      </c>
    </row>
    <row r="305" spans="1:2" x14ac:dyDescent="0.3">
      <c r="A305" t="str">
        <f>"101-524009-0161"</f>
        <v>101-524009-0161</v>
      </c>
      <c r="B305" t="s">
        <v>1191</v>
      </c>
    </row>
    <row r="306" spans="1:2" x14ac:dyDescent="0.3">
      <c r="A306" t="str">
        <f>"101-555141-3"</f>
        <v>101-555141-3</v>
      </c>
      <c r="B306" t="s">
        <v>1190</v>
      </c>
    </row>
    <row r="307" spans="1:2" x14ac:dyDescent="0.3">
      <c r="A307" t="str">
        <f>"101-580010-1"</f>
        <v>101-580010-1</v>
      </c>
      <c r="B307" t="s">
        <v>1193</v>
      </c>
    </row>
    <row r="308" spans="1:2" x14ac:dyDescent="0.3">
      <c r="A308" t="str">
        <f>"101-8030-1S"</f>
        <v>101-8030-1S</v>
      </c>
      <c r="B308" t="s">
        <v>1194</v>
      </c>
    </row>
    <row r="309" spans="1:2" x14ac:dyDescent="0.3">
      <c r="A309" t="str">
        <f>"101-910000-17"</f>
        <v>101-910000-17</v>
      </c>
      <c r="B309" t="s">
        <v>893</v>
      </c>
    </row>
    <row r="310" spans="1:2" x14ac:dyDescent="0.3">
      <c r="A310" t="str">
        <f>"101-910000-47"</f>
        <v>101-910000-47</v>
      </c>
      <c r="B310" t="s">
        <v>1165</v>
      </c>
    </row>
    <row r="311" spans="1:2" x14ac:dyDescent="0.3">
      <c r="A311" t="str">
        <f>"101-910000-55"</f>
        <v>101-910000-55</v>
      </c>
      <c r="B311" t="s">
        <v>1166</v>
      </c>
    </row>
    <row r="312" spans="1:2" x14ac:dyDescent="0.3">
      <c r="A312" t="str">
        <f>"101-910000-57"</f>
        <v>101-910000-57</v>
      </c>
      <c r="B312" t="s">
        <v>893</v>
      </c>
    </row>
    <row r="313" spans="1:2" x14ac:dyDescent="0.3">
      <c r="A313" t="str">
        <f>"101A0850-27"</f>
        <v>101A0850-27</v>
      </c>
      <c r="B313" t="s">
        <v>4395</v>
      </c>
    </row>
    <row r="314" spans="1:2" x14ac:dyDescent="0.3">
      <c r="A314" t="str">
        <f>"101FFTX1K6G33"</f>
        <v>101FFTX1K6G33</v>
      </c>
      <c r="B314" t="s">
        <v>119</v>
      </c>
    </row>
    <row r="315" spans="1:2" x14ac:dyDescent="0.3">
      <c r="A315" t="str">
        <f>"102-00090"</f>
        <v>102-00090</v>
      </c>
      <c r="B315" t="s">
        <v>2544</v>
      </c>
    </row>
    <row r="316" spans="1:2" x14ac:dyDescent="0.3">
      <c r="A316" t="str">
        <f>"102-00099"</f>
        <v>102-00099</v>
      </c>
      <c r="B316" t="s">
        <v>511</v>
      </c>
    </row>
    <row r="317" spans="1:2" x14ac:dyDescent="0.3">
      <c r="A317" t="str">
        <f>"1020060"</f>
        <v>1020060</v>
      </c>
      <c r="B317" t="s">
        <v>1235</v>
      </c>
    </row>
    <row r="318" spans="1:2" x14ac:dyDescent="0.3">
      <c r="A318" t="str">
        <f>"1020060/440120"</f>
        <v>1020060/440120</v>
      </c>
      <c r="B318" t="s">
        <v>1235</v>
      </c>
    </row>
    <row r="319" spans="1:2" x14ac:dyDescent="0.3">
      <c r="A319" t="str">
        <f>"1020061"</f>
        <v>1020061</v>
      </c>
      <c r="B319" t="s">
        <v>1824</v>
      </c>
    </row>
    <row r="320" spans="1:2" x14ac:dyDescent="0.3">
      <c r="A320" t="str">
        <f>"102033"</f>
        <v>102033</v>
      </c>
      <c r="B320" t="s">
        <v>791</v>
      </c>
    </row>
    <row r="321" spans="1:2" x14ac:dyDescent="0.3">
      <c r="A321" t="str">
        <f>"10251-0049"</f>
        <v>10251-0049</v>
      </c>
      <c r="B321" t="s">
        <v>133</v>
      </c>
    </row>
    <row r="322" spans="1:2" x14ac:dyDescent="0.3">
      <c r="A322" t="str">
        <f>"10284-0025"</f>
        <v>10284-0025</v>
      </c>
      <c r="B322" t="s">
        <v>129</v>
      </c>
    </row>
    <row r="323" spans="1:2" x14ac:dyDescent="0.3">
      <c r="A323" t="str">
        <f>"102A10001-16"</f>
        <v>102A10001-16</v>
      </c>
      <c r="B323" t="s">
        <v>173</v>
      </c>
    </row>
    <row r="324" spans="1:2" x14ac:dyDescent="0.3">
      <c r="A324" t="str">
        <f>"102AH2AG"</f>
        <v>102AH2AG</v>
      </c>
    </row>
    <row r="325" spans="1:2" x14ac:dyDescent="0.3">
      <c r="A325" t="str">
        <f>"103-10500"</f>
        <v>103-10500</v>
      </c>
      <c r="B325" t="s">
        <v>1171</v>
      </c>
    </row>
    <row r="326" spans="1:2" x14ac:dyDescent="0.3">
      <c r="A326" t="str">
        <f>"10316-2"</f>
        <v>10316-2</v>
      </c>
      <c r="B326" t="s">
        <v>1077</v>
      </c>
    </row>
    <row r="327" spans="1:2" x14ac:dyDescent="0.3">
      <c r="A327" t="str">
        <f>"103-20400"</f>
        <v>103-20400</v>
      </c>
      <c r="B327" t="s">
        <v>363</v>
      </c>
    </row>
    <row r="328" spans="1:2" x14ac:dyDescent="0.3">
      <c r="A328" t="str">
        <f>"103687-7"</f>
        <v>103687-7</v>
      </c>
      <c r="B328" t="s">
        <v>4510</v>
      </c>
    </row>
    <row r="329" spans="1:2" x14ac:dyDescent="0.3">
      <c r="A329" t="str">
        <f>"10-377531-1"</f>
        <v>10-377531-1</v>
      </c>
      <c r="B329" t="s">
        <v>706</v>
      </c>
    </row>
    <row r="330" spans="1:2" x14ac:dyDescent="0.3">
      <c r="A330" t="str">
        <f>"10-378388"</f>
        <v>10-378388</v>
      </c>
      <c r="B330" t="s">
        <v>705</v>
      </c>
    </row>
    <row r="331" spans="1:2" x14ac:dyDescent="0.3">
      <c r="A331" t="str">
        <f>"10-381550-4"</f>
        <v>10-381550-4</v>
      </c>
      <c r="B331" t="s">
        <v>1354</v>
      </c>
    </row>
    <row r="332" spans="1:2" x14ac:dyDescent="0.3">
      <c r="A332" t="str">
        <f>"10-381750-14"</f>
        <v>10-381750-14</v>
      </c>
      <c r="B332" t="s">
        <v>1354</v>
      </c>
    </row>
    <row r="333" spans="1:2" x14ac:dyDescent="0.3">
      <c r="A333" t="str">
        <f>"10-390667-1"</f>
        <v>10-390667-1</v>
      </c>
      <c r="B333" t="s">
        <v>1348</v>
      </c>
    </row>
    <row r="334" spans="1:2" x14ac:dyDescent="0.3">
      <c r="A334" t="str">
        <f>"104-000-1-05"</f>
        <v>104-000-1-05</v>
      </c>
    </row>
    <row r="335" spans="1:2" x14ac:dyDescent="0.3">
      <c r="A335" t="str">
        <f>"104054-0"</f>
        <v>104054-0</v>
      </c>
      <c r="B335" t="s">
        <v>188</v>
      </c>
    </row>
    <row r="336" spans="1:2" x14ac:dyDescent="0.3">
      <c r="A336" t="str">
        <f>"10-407862-310"</f>
        <v>10-407862-310</v>
      </c>
      <c r="B336" t="s">
        <v>20</v>
      </c>
    </row>
    <row r="337" spans="1:2" x14ac:dyDescent="0.3">
      <c r="A337" t="str">
        <f>"10-407862-320"</f>
        <v>10-407862-320</v>
      </c>
      <c r="B337" t="s">
        <v>20</v>
      </c>
    </row>
    <row r="338" spans="1:2" x14ac:dyDescent="0.3">
      <c r="A338" t="str">
        <f>"10-407863-310"</f>
        <v>10-407863-310</v>
      </c>
      <c r="B338" t="s">
        <v>20</v>
      </c>
    </row>
    <row r="339" spans="1:2" x14ac:dyDescent="0.3">
      <c r="A339" t="str">
        <f>"104973-1"</f>
        <v>104973-1</v>
      </c>
      <c r="B339" t="s">
        <v>366</v>
      </c>
    </row>
    <row r="340" spans="1:2" x14ac:dyDescent="0.3">
      <c r="A340" t="str">
        <f>"105-00200"</f>
        <v>105-00200</v>
      </c>
      <c r="B340" t="s">
        <v>568</v>
      </c>
    </row>
    <row r="341" spans="1:2" x14ac:dyDescent="0.3">
      <c r="A341" t="str">
        <f>"10-516124"</f>
        <v>10-516124</v>
      </c>
      <c r="B341" t="s">
        <v>2483</v>
      </c>
    </row>
    <row r="342" spans="1:2" x14ac:dyDescent="0.3">
      <c r="A342" t="str">
        <f>"10-60450-2"</f>
        <v>10-60450-2</v>
      </c>
      <c r="B342" t="s">
        <v>175</v>
      </c>
    </row>
    <row r="343" spans="1:2" x14ac:dyDescent="0.3">
      <c r="A343" t="str">
        <f>"10-60754-20"</f>
        <v>10-60754-20</v>
      </c>
      <c r="B343" t="s">
        <v>132</v>
      </c>
    </row>
    <row r="344" spans="1:2" x14ac:dyDescent="0.3">
      <c r="A344" t="str">
        <f>"10-60806-1025"</f>
        <v>10-60806-1025</v>
      </c>
      <c r="B344" t="s">
        <v>36</v>
      </c>
    </row>
    <row r="345" spans="1:2" x14ac:dyDescent="0.3">
      <c r="A345" t="str">
        <f>"106083"</f>
        <v>106083</v>
      </c>
      <c r="B345" t="s">
        <v>3921</v>
      </c>
    </row>
    <row r="346" spans="1:2" x14ac:dyDescent="0.3">
      <c r="A346" t="str">
        <f>"106084"</f>
        <v>106084</v>
      </c>
      <c r="B346" t="s">
        <v>3921</v>
      </c>
    </row>
    <row r="347" spans="1:2" x14ac:dyDescent="0.3">
      <c r="A347" t="str">
        <f>"10-61445-24"</f>
        <v>10-61445-24</v>
      </c>
      <c r="B347" t="s">
        <v>175</v>
      </c>
    </row>
    <row r="348" spans="1:2" x14ac:dyDescent="0.3">
      <c r="A348" t="str">
        <f>"106308"</f>
        <v>106308</v>
      </c>
    </row>
    <row r="349" spans="1:2" x14ac:dyDescent="0.3">
      <c r="A349" t="str">
        <f>"106309"</f>
        <v>106309</v>
      </c>
    </row>
    <row r="350" spans="1:2" x14ac:dyDescent="0.3">
      <c r="A350" t="str">
        <f>"10-631045-1"</f>
        <v>10-631045-1</v>
      </c>
      <c r="B350" t="s">
        <v>1536</v>
      </c>
    </row>
    <row r="351" spans="1:2" x14ac:dyDescent="0.3">
      <c r="A351" t="str">
        <f>"106339RE02"</f>
        <v>106339RE02</v>
      </c>
      <c r="B351" t="s">
        <v>4630</v>
      </c>
    </row>
    <row r="352" spans="1:2" x14ac:dyDescent="0.3">
      <c r="A352" t="str">
        <f>"106524"</f>
        <v>106524</v>
      </c>
      <c r="B352" t="s">
        <v>2774</v>
      </c>
    </row>
    <row r="353" spans="1:2" x14ac:dyDescent="0.3">
      <c r="A353" t="str">
        <f>"106774RE02"</f>
        <v>106774RE02</v>
      </c>
      <c r="B353" t="s">
        <v>336</v>
      </c>
    </row>
    <row r="354" spans="1:2" x14ac:dyDescent="0.3">
      <c r="A354" t="str">
        <f>"107642AA03"</f>
        <v>107642AA03</v>
      </c>
      <c r="B354" t="s">
        <v>13</v>
      </c>
    </row>
    <row r="355" spans="1:2" x14ac:dyDescent="0.3">
      <c r="A355" t="str">
        <f>"108280-49"</f>
        <v>108280-49</v>
      </c>
      <c r="B355" t="s">
        <v>897</v>
      </c>
    </row>
    <row r="356" spans="1:2" x14ac:dyDescent="0.3">
      <c r="A356" t="str">
        <f>"108C0312-01"</f>
        <v>108C0312-01</v>
      </c>
      <c r="B356" t="s">
        <v>3971</v>
      </c>
    </row>
    <row r="357" spans="1:2" x14ac:dyDescent="0.3">
      <c r="A357" t="str">
        <f>"108C0375-01"</f>
        <v>108C0375-01</v>
      </c>
      <c r="B357" t="s">
        <v>3971</v>
      </c>
    </row>
    <row r="358" spans="1:2" x14ac:dyDescent="0.3">
      <c r="A358" t="str">
        <f>"10-900-17"</f>
        <v>10-900-17</v>
      </c>
    </row>
    <row r="359" spans="1:2" x14ac:dyDescent="0.3">
      <c r="A359" t="str">
        <f>"10-900-21"</f>
        <v>10-900-21</v>
      </c>
      <c r="B359" t="s">
        <v>509</v>
      </c>
    </row>
    <row r="360" spans="1:2" x14ac:dyDescent="0.3">
      <c r="A360" t="str">
        <f>"10-900-25"</f>
        <v>10-900-25</v>
      </c>
      <c r="B360" t="s">
        <v>1364</v>
      </c>
    </row>
    <row r="361" spans="1:2" x14ac:dyDescent="0.3">
      <c r="A361" t="str">
        <f>"10-900-28A-2"</f>
        <v>10-900-28A-2</v>
      </c>
      <c r="B361" t="s">
        <v>1245</v>
      </c>
    </row>
    <row r="362" spans="1:2" x14ac:dyDescent="0.3">
      <c r="A362" t="str">
        <f>"10-900-41"</f>
        <v>10-900-41</v>
      </c>
      <c r="B362" t="s">
        <v>2631</v>
      </c>
    </row>
    <row r="363" spans="1:2" x14ac:dyDescent="0.3">
      <c r="A363" t="str">
        <f>"10-900-49"</f>
        <v>10-900-49</v>
      </c>
      <c r="B363" t="s">
        <v>1524</v>
      </c>
    </row>
    <row r="364" spans="1:2" x14ac:dyDescent="0.3">
      <c r="A364" t="str">
        <f>"10-900-59/1"</f>
        <v>10-900-59/1</v>
      </c>
      <c r="B364" t="s">
        <v>1245</v>
      </c>
    </row>
    <row r="365" spans="1:2" x14ac:dyDescent="0.3">
      <c r="A365" t="str">
        <f>"10-900-62"</f>
        <v>10-900-62</v>
      </c>
      <c r="B365" t="s">
        <v>510</v>
      </c>
    </row>
    <row r="366" spans="1:2" x14ac:dyDescent="0.3">
      <c r="A366" t="str">
        <f>"10-900-64"</f>
        <v>10-900-64</v>
      </c>
      <c r="B366" t="s">
        <v>1524</v>
      </c>
    </row>
    <row r="367" spans="1:2" x14ac:dyDescent="0.3">
      <c r="A367" t="str">
        <f>"10-900-71"</f>
        <v>10-900-71</v>
      </c>
      <c r="B367" t="s">
        <v>1524</v>
      </c>
    </row>
    <row r="368" spans="1:2" x14ac:dyDescent="0.3">
      <c r="A368" t="str">
        <f>"10-900-9"</f>
        <v>10-900-9</v>
      </c>
      <c r="B368" t="s">
        <v>1825</v>
      </c>
    </row>
    <row r="369" spans="1:2" x14ac:dyDescent="0.3">
      <c r="A369" t="str">
        <f>"10-900-CA"</f>
        <v>10-900-CA</v>
      </c>
      <c r="B369" t="s">
        <v>3477</v>
      </c>
    </row>
    <row r="370" spans="1:2" x14ac:dyDescent="0.3">
      <c r="A370" t="str">
        <f>"1095599-1"</f>
        <v>1095599-1</v>
      </c>
      <c r="B370" t="s">
        <v>181</v>
      </c>
    </row>
    <row r="371" spans="1:2" x14ac:dyDescent="0.3">
      <c r="A371" t="str">
        <f>"109D227X9060T2"</f>
        <v>109D227X9060T2</v>
      </c>
      <c r="B371" t="s">
        <v>133</v>
      </c>
    </row>
    <row r="372" spans="1:2" x14ac:dyDescent="0.3">
      <c r="A372" t="str">
        <f>"10H/18574"</f>
        <v>10H/18574</v>
      </c>
      <c r="B372" t="s">
        <v>3565</v>
      </c>
    </row>
    <row r="373" spans="1:2" x14ac:dyDescent="0.3">
      <c r="A373" t="str">
        <f>"10H/18575"</f>
        <v>10H/18575</v>
      </c>
      <c r="B373" t="s">
        <v>3564</v>
      </c>
    </row>
    <row r="374" spans="1:2" x14ac:dyDescent="0.3">
      <c r="A374" t="str">
        <f>"11-0111-17"</f>
        <v>11-0111-17</v>
      </c>
      <c r="B374" t="s">
        <v>128</v>
      </c>
    </row>
    <row r="375" spans="1:2" x14ac:dyDescent="0.3">
      <c r="A375" t="str">
        <f>"1102"</f>
        <v>1102</v>
      </c>
      <c r="B375" t="s">
        <v>1634</v>
      </c>
    </row>
    <row r="376" spans="1:2" x14ac:dyDescent="0.3">
      <c r="A376" t="str">
        <f>"11-0322-9"</f>
        <v>11-0322-9</v>
      </c>
      <c r="B376" t="s">
        <v>4525</v>
      </c>
    </row>
    <row r="377" spans="1:2" x14ac:dyDescent="0.3">
      <c r="A377" t="str">
        <f>"110560-17"</f>
        <v>110560-17</v>
      </c>
      <c r="B377" t="s">
        <v>893</v>
      </c>
    </row>
    <row r="378" spans="1:2" x14ac:dyDescent="0.3">
      <c r="A378" t="str">
        <f>"110STMDY"</f>
        <v>110STMDY</v>
      </c>
      <c r="B378" t="s">
        <v>1970</v>
      </c>
    </row>
    <row r="379" spans="1:2" x14ac:dyDescent="0.3">
      <c r="A379" t="str">
        <f>"110TMDY"</f>
        <v>110TMDY</v>
      </c>
      <c r="B379" t="s">
        <v>1969</v>
      </c>
    </row>
    <row r="380" spans="1:2" x14ac:dyDescent="0.3">
      <c r="A380" t="str">
        <f>"1110101"</f>
        <v>1110101</v>
      </c>
      <c r="B380" t="s">
        <v>2649</v>
      </c>
    </row>
    <row r="381" spans="1:2" x14ac:dyDescent="0.3">
      <c r="A381" t="str">
        <f>"1110-123370"</f>
        <v>1110-123370</v>
      </c>
      <c r="B381" t="s">
        <v>132</v>
      </c>
    </row>
    <row r="382" spans="1:2" x14ac:dyDescent="0.3">
      <c r="A382" t="str">
        <f>"11-10638"</f>
        <v>11-10638</v>
      </c>
      <c r="B382" t="s">
        <v>635</v>
      </c>
    </row>
    <row r="383" spans="1:2" x14ac:dyDescent="0.3">
      <c r="A383" t="str">
        <f>"11-10865"</f>
        <v>11-10865</v>
      </c>
      <c r="B383" t="s">
        <v>635</v>
      </c>
    </row>
    <row r="384" spans="1:2" x14ac:dyDescent="0.3">
      <c r="A384" t="str">
        <f>"1111131-03"</f>
        <v>1111131-03</v>
      </c>
      <c r="B384" t="s">
        <v>4662</v>
      </c>
    </row>
    <row r="385" spans="1:2" x14ac:dyDescent="0.3">
      <c r="A385" t="str">
        <f>"11148A"</f>
        <v>11148A</v>
      </c>
      <c r="B385" t="s">
        <v>2482</v>
      </c>
    </row>
    <row r="386" spans="1:2" x14ac:dyDescent="0.3">
      <c r="A386" t="str">
        <f>"111506-8"</f>
        <v>111506-8</v>
      </c>
      <c r="B386" t="s">
        <v>1195</v>
      </c>
    </row>
    <row r="387" spans="1:2" x14ac:dyDescent="0.3">
      <c r="A387" t="str">
        <f>"1117119-01"</f>
        <v>1117119-01</v>
      </c>
      <c r="B387" t="s">
        <v>2109</v>
      </c>
    </row>
    <row r="388" spans="1:2" x14ac:dyDescent="0.3">
      <c r="A388" t="str">
        <f>"1117556-100-278"</f>
        <v>1117556-100-278</v>
      </c>
      <c r="B388" t="s">
        <v>3022</v>
      </c>
    </row>
    <row r="389" spans="1:2" x14ac:dyDescent="0.3">
      <c r="A389" t="str">
        <f>"1117556-200-278"</f>
        <v>1117556-200-278</v>
      </c>
      <c r="B389" t="s">
        <v>3022</v>
      </c>
    </row>
    <row r="390" spans="1:2" x14ac:dyDescent="0.3">
      <c r="A390" t="str">
        <f>"111C0850-02"</f>
        <v>111C0850-02</v>
      </c>
      <c r="B390" t="s">
        <v>4396</v>
      </c>
    </row>
    <row r="391" spans="1:2" x14ac:dyDescent="0.3">
      <c r="A391" t="str">
        <f>"111F504-4S-0034"</f>
        <v>111F504-4S-0034</v>
      </c>
      <c r="B391" t="s">
        <v>893</v>
      </c>
    </row>
    <row r="392" spans="1:2" x14ac:dyDescent="0.3">
      <c r="A392" t="str">
        <f>"111F504-6S-0144"</f>
        <v>111F504-6S-0144</v>
      </c>
      <c r="B392" t="s">
        <v>897</v>
      </c>
    </row>
    <row r="393" spans="1:2" x14ac:dyDescent="0.3">
      <c r="A393" t="str">
        <f>"11272-00"</f>
        <v>11272-00</v>
      </c>
      <c r="B393" t="s">
        <v>3954</v>
      </c>
    </row>
    <row r="394" spans="1:2" x14ac:dyDescent="0.3">
      <c r="A394" t="str">
        <f>"11272-01"</f>
        <v>11272-01</v>
      </c>
      <c r="B394" t="s">
        <v>3954</v>
      </c>
    </row>
    <row r="395" spans="1:2" x14ac:dyDescent="0.3">
      <c r="A395" t="str">
        <f>"113A4150-5"</f>
        <v>113A4150-5</v>
      </c>
      <c r="B395" t="s">
        <v>132</v>
      </c>
    </row>
    <row r="396" spans="1:2" x14ac:dyDescent="0.3">
      <c r="A396" t="str">
        <f>"113A7221-1"</f>
        <v>113A7221-1</v>
      </c>
      <c r="B396" t="s">
        <v>128</v>
      </c>
    </row>
    <row r="397" spans="1:2" x14ac:dyDescent="0.3">
      <c r="A397" t="str">
        <f>"113A9350-3"</f>
        <v>113A9350-3</v>
      </c>
      <c r="B397" t="s">
        <v>132</v>
      </c>
    </row>
    <row r="398" spans="1:2" x14ac:dyDescent="0.3">
      <c r="A398" t="str">
        <f>"114122672"</f>
        <v>114122672</v>
      </c>
      <c r="B398" t="s">
        <v>2988</v>
      </c>
    </row>
    <row r="399" spans="1:2" x14ac:dyDescent="0.3">
      <c r="A399" t="str">
        <f>"114A1801-12"</f>
        <v>114A1801-12</v>
      </c>
      <c r="B399" t="s">
        <v>132</v>
      </c>
    </row>
    <row r="400" spans="1:2" x14ac:dyDescent="0.3">
      <c r="A400" t="str">
        <f>"114A1801-7"</f>
        <v>114A1801-7</v>
      </c>
      <c r="B400" t="s">
        <v>132</v>
      </c>
    </row>
    <row r="401" spans="1:2" x14ac:dyDescent="0.3">
      <c r="A401" t="str">
        <f>"1150002-604-010"</f>
        <v>1150002-604-010</v>
      </c>
      <c r="B401" t="s">
        <v>4606</v>
      </c>
    </row>
    <row r="402" spans="1:2" x14ac:dyDescent="0.3">
      <c r="A402" t="str">
        <f>"115020-001"</f>
        <v>115020-001</v>
      </c>
      <c r="B402" t="s">
        <v>4006</v>
      </c>
    </row>
    <row r="403" spans="1:2" x14ac:dyDescent="0.3">
      <c r="A403" t="str">
        <f>"11-5839-1"</f>
        <v>11-5839-1</v>
      </c>
      <c r="B403" t="s">
        <v>959</v>
      </c>
    </row>
    <row r="404" spans="1:2" x14ac:dyDescent="0.3">
      <c r="A404" t="str">
        <f>"1159SCAV519-1"</f>
        <v>1159SCAV519-1</v>
      </c>
      <c r="B404" t="s">
        <v>181</v>
      </c>
    </row>
    <row r="405" spans="1:2" x14ac:dyDescent="0.3">
      <c r="A405" t="str">
        <f>"11-6193-1"</f>
        <v>11-6193-1</v>
      </c>
      <c r="B405" t="s">
        <v>4041</v>
      </c>
    </row>
    <row r="406" spans="1:2" x14ac:dyDescent="0.3">
      <c r="A406" t="str">
        <f>"11-6550-3"</f>
        <v>11-6550-3</v>
      </c>
      <c r="B406" t="s">
        <v>133</v>
      </c>
    </row>
    <row r="407" spans="1:2" x14ac:dyDescent="0.3">
      <c r="A407" t="str">
        <f>"11-6564-11"</f>
        <v>11-6564-11</v>
      </c>
      <c r="B407" t="s">
        <v>2284</v>
      </c>
    </row>
    <row r="408" spans="1:2" x14ac:dyDescent="0.3">
      <c r="A408" t="str">
        <f>"11-6564-7"</f>
        <v>11-6564-7</v>
      </c>
      <c r="B408" t="s">
        <v>686</v>
      </c>
    </row>
    <row r="409" spans="1:2" x14ac:dyDescent="0.3">
      <c r="A409" t="str">
        <f>"116A2913-12"</f>
        <v>116A2913-12</v>
      </c>
      <c r="B409" t="s">
        <v>132</v>
      </c>
    </row>
    <row r="410" spans="1:2" x14ac:dyDescent="0.3">
      <c r="A410" t="str">
        <f>"1-17"</f>
        <v>1-17</v>
      </c>
      <c r="B410" t="s">
        <v>2313</v>
      </c>
    </row>
    <row r="411" spans="1:2" x14ac:dyDescent="0.3">
      <c r="A411" t="str">
        <f>"117003-12"</f>
        <v>117003-12</v>
      </c>
      <c r="B411" t="s">
        <v>2562</v>
      </c>
    </row>
    <row r="412" spans="1:2" x14ac:dyDescent="0.3">
      <c r="A412" t="str">
        <f>"11706-3"</f>
        <v>11706-3</v>
      </c>
      <c r="B412" t="s">
        <v>244</v>
      </c>
    </row>
    <row r="413" spans="1:2" x14ac:dyDescent="0.3">
      <c r="A413" t="str">
        <f>"117357-21"</f>
        <v>117357-21</v>
      </c>
      <c r="B413" t="s">
        <v>116</v>
      </c>
    </row>
    <row r="414" spans="1:2" x14ac:dyDescent="0.3">
      <c r="A414" t="str">
        <f>"118856-1"</f>
        <v>118856-1</v>
      </c>
      <c r="B414" t="s">
        <v>336</v>
      </c>
    </row>
    <row r="415" spans="1:2" x14ac:dyDescent="0.3">
      <c r="A415" t="str">
        <f>"1191-4CN-0375"</f>
        <v>1191-4CN-0375</v>
      </c>
      <c r="B415" t="s">
        <v>3709</v>
      </c>
    </row>
    <row r="416" spans="1:2" x14ac:dyDescent="0.3">
      <c r="A416" t="s">
        <v>1019</v>
      </c>
      <c r="B416" t="s">
        <v>1020</v>
      </c>
    </row>
    <row r="417" spans="1:2" x14ac:dyDescent="0.3">
      <c r="A417" t="str">
        <f>"120-00163-0000"</f>
        <v>120-00163-0000</v>
      </c>
      <c r="B417" t="s">
        <v>494</v>
      </c>
    </row>
    <row r="418" spans="1:2" x14ac:dyDescent="0.3">
      <c r="A418" t="str">
        <f>"120-0095-0000"</f>
        <v>120-0095-0000</v>
      </c>
      <c r="B418" t="s">
        <v>494</v>
      </c>
    </row>
    <row r="419" spans="1:2" x14ac:dyDescent="0.3">
      <c r="A419" t="str">
        <f>"120-38748-001"</f>
        <v>120-38748-001</v>
      </c>
      <c r="B419" t="s">
        <v>3522</v>
      </c>
    </row>
    <row r="420" spans="1:2" x14ac:dyDescent="0.3">
      <c r="A420" t="str">
        <f>"120-38752-001"</f>
        <v>120-38752-001</v>
      </c>
      <c r="B420" t="s">
        <v>3522</v>
      </c>
    </row>
    <row r="421" spans="1:2" x14ac:dyDescent="0.3">
      <c r="A421" t="str">
        <f>"120-6058-00"</f>
        <v>120-6058-00</v>
      </c>
      <c r="B421" t="s">
        <v>494</v>
      </c>
    </row>
    <row r="422" spans="1:2" x14ac:dyDescent="0.3">
      <c r="A422" t="str">
        <f>"1211175-011"</f>
        <v>1211175-011</v>
      </c>
    </row>
    <row r="423" spans="1:2" x14ac:dyDescent="0.3">
      <c r="A423" t="str">
        <f>"12243-6"</f>
        <v>12243-6</v>
      </c>
      <c r="B423" t="s">
        <v>1985</v>
      </c>
    </row>
    <row r="424" spans="1:2" x14ac:dyDescent="0.3">
      <c r="A424" t="str">
        <f>"1225P6-2"</f>
        <v>1225P6-2</v>
      </c>
    </row>
    <row r="425" spans="1:2" x14ac:dyDescent="0.3">
      <c r="A425" t="str">
        <f>"12304G-04"</f>
        <v>12304G-04</v>
      </c>
      <c r="B425" t="s">
        <v>538</v>
      </c>
    </row>
    <row r="426" spans="1:2" x14ac:dyDescent="0.3">
      <c r="A426" t="str">
        <f>"123CH1A"</f>
        <v>123CH1A</v>
      </c>
      <c r="B426" t="s">
        <v>511</v>
      </c>
    </row>
    <row r="427" spans="1:2" x14ac:dyDescent="0.3">
      <c r="A427" t="str">
        <f>"12409G-26"</f>
        <v>12409G-26</v>
      </c>
      <c r="B427" t="s">
        <v>2976</v>
      </c>
    </row>
    <row r="428" spans="1:2" x14ac:dyDescent="0.3">
      <c r="A428" t="str">
        <f>"1245006"</f>
        <v>1245006</v>
      </c>
      <c r="B428" t="s">
        <v>2648</v>
      </c>
    </row>
    <row r="429" spans="1:2" x14ac:dyDescent="0.3">
      <c r="A429" t="str">
        <f>"124F002-4CR-0224"</f>
        <v>124F002-4CR-0224</v>
      </c>
      <c r="B429" t="s">
        <v>850</v>
      </c>
    </row>
    <row r="430" spans="1:2" x14ac:dyDescent="0.3">
      <c r="A430" t="str">
        <f>"1251"</f>
        <v>1251</v>
      </c>
      <c r="B430" t="s">
        <v>11</v>
      </c>
    </row>
    <row r="431" spans="1:2" x14ac:dyDescent="0.3">
      <c r="A431" t="str">
        <f>"1261-044"</f>
        <v>1261-044</v>
      </c>
      <c r="B431" t="s">
        <v>1746</v>
      </c>
    </row>
    <row r="432" spans="1:2" x14ac:dyDescent="0.3">
      <c r="A432" t="str">
        <f>"126372"</f>
        <v>126372</v>
      </c>
      <c r="B432" t="s">
        <v>132</v>
      </c>
    </row>
    <row r="433" spans="1:2" x14ac:dyDescent="0.3">
      <c r="A433" t="str">
        <f>"126C0375-07H"</f>
        <v>126C0375-07H</v>
      </c>
      <c r="B433" t="s">
        <v>4399</v>
      </c>
    </row>
    <row r="434" spans="1:2" x14ac:dyDescent="0.3">
      <c r="A434" t="str">
        <f>"129666-2"</f>
        <v>129666-2</v>
      </c>
      <c r="B434" t="s">
        <v>511</v>
      </c>
    </row>
    <row r="435" spans="1:2" x14ac:dyDescent="0.3">
      <c r="A435" t="str">
        <f>"129694-2"</f>
        <v>129694-2</v>
      </c>
      <c r="B435" t="s">
        <v>1214</v>
      </c>
    </row>
    <row r="436" spans="1:2" x14ac:dyDescent="0.3">
      <c r="A436" t="str">
        <f>"12D117B5"</f>
        <v>12D117B5</v>
      </c>
      <c r="B436" t="s">
        <v>132</v>
      </c>
    </row>
    <row r="437" spans="1:2" x14ac:dyDescent="0.3">
      <c r="A437" t="str">
        <f>"12D124-5C6"</f>
        <v>12D124-5C6</v>
      </c>
      <c r="B437" t="s">
        <v>132</v>
      </c>
    </row>
    <row r="438" spans="1:2" x14ac:dyDescent="0.3">
      <c r="A438" t="s">
        <v>1021</v>
      </c>
      <c r="B438" t="s">
        <v>1022</v>
      </c>
    </row>
    <row r="439" spans="1:2" x14ac:dyDescent="0.3">
      <c r="A439" t="str">
        <f>"130-0003"</f>
        <v>130-0003</v>
      </c>
      <c r="B439" t="s">
        <v>739</v>
      </c>
    </row>
    <row r="440" spans="1:2" x14ac:dyDescent="0.3">
      <c r="A440" t="str">
        <f>"130001-4S-0180"</f>
        <v>130001-4S-0180</v>
      </c>
      <c r="B440" t="s">
        <v>897</v>
      </c>
    </row>
    <row r="441" spans="1:2" x14ac:dyDescent="0.3">
      <c r="A441" t="str">
        <f>"130001-6S-0190"</f>
        <v>130001-6S-0190</v>
      </c>
      <c r="B441" t="s">
        <v>897</v>
      </c>
    </row>
    <row r="442" spans="1:2" x14ac:dyDescent="0.3">
      <c r="A442" t="str">
        <f>"1300L"</f>
        <v>1300L</v>
      </c>
      <c r="B442" t="s">
        <v>753</v>
      </c>
    </row>
    <row r="443" spans="1:2" x14ac:dyDescent="0.3">
      <c r="A443" t="str">
        <f>"130-27"</f>
        <v>130-27</v>
      </c>
      <c r="B443" t="s">
        <v>3064</v>
      </c>
    </row>
    <row r="444" spans="1:2" x14ac:dyDescent="0.3">
      <c r="A444" t="str">
        <f>"130-28"</f>
        <v>130-28</v>
      </c>
      <c r="B444" t="s">
        <v>3064</v>
      </c>
    </row>
    <row r="445" spans="1:2" x14ac:dyDescent="0.3">
      <c r="A445" t="str">
        <f>"130447-1"</f>
        <v>130447-1</v>
      </c>
      <c r="B445" t="s">
        <v>4600</v>
      </c>
    </row>
    <row r="446" spans="1:2" x14ac:dyDescent="0.3">
      <c r="A446" t="str">
        <f>"130469-3"</f>
        <v>130469-3</v>
      </c>
      <c r="B446" t="s">
        <v>1414</v>
      </c>
    </row>
    <row r="447" spans="1:2" x14ac:dyDescent="0.3">
      <c r="A447" t="str">
        <f>"1308"</f>
        <v>1308</v>
      </c>
      <c r="B447" t="s">
        <v>626</v>
      </c>
    </row>
    <row r="448" spans="1:2" x14ac:dyDescent="0.3">
      <c r="A448" t="str">
        <f>"1308 (GE)"</f>
        <v>1308 (GE)</v>
      </c>
      <c r="B448" t="s">
        <v>11</v>
      </c>
    </row>
    <row r="449" spans="1:2" x14ac:dyDescent="0.3">
      <c r="A449" t="str">
        <f>"1308 (OL)"</f>
        <v>1308 (OL)</v>
      </c>
      <c r="B449" t="s">
        <v>626</v>
      </c>
    </row>
    <row r="450" spans="1:2" x14ac:dyDescent="0.3">
      <c r="A450" t="str">
        <f>"1309"</f>
        <v>1309</v>
      </c>
      <c r="B450" t="s">
        <v>623</v>
      </c>
    </row>
    <row r="451" spans="1:2" x14ac:dyDescent="0.3">
      <c r="A451" t="str">
        <f>"130F001-4S-0314"</f>
        <v>130F001-4S-0314</v>
      </c>
      <c r="B451" t="s">
        <v>893</v>
      </c>
    </row>
    <row r="452" spans="1:2" x14ac:dyDescent="0.3">
      <c r="A452" t="str">
        <f>"131066-2-0320"</f>
        <v>131066-2-0320</v>
      </c>
      <c r="B452" t="s">
        <v>1248</v>
      </c>
    </row>
    <row r="453" spans="1:2" x14ac:dyDescent="0.3">
      <c r="A453" t="str">
        <f>"13-12-90111"</f>
        <v>13-12-90111</v>
      </c>
      <c r="B453" t="s">
        <v>3991</v>
      </c>
    </row>
    <row r="454" spans="1:2" x14ac:dyDescent="0.3">
      <c r="A454" t="str">
        <f>"131676-1"</f>
        <v>131676-1</v>
      </c>
      <c r="B454" t="s">
        <v>4470</v>
      </c>
    </row>
    <row r="455" spans="1:2" x14ac:dyDescent="0.3">
      <c r="A455" t="str">
        <f>"1317"</f>
        <v>1317</v>
      </c>
      <c r="B455" t="s">
        <v>623</v>
      </c>
    </row>
    <row r="456" spans="1:2" x14ac:dyDescent="0.3">
      <c r="A456" t="str">
        <f>"1317 (OL)"</f>
        <v>1317 (OL)</v>
      </c>
      <c r="B456" t="s">
        <v>11</v>
      </c>
    </row>
    <row r="457" spans="1:2" x14ac:dyDescent="0.3">
      <c r="A457" t="str">
        <f>"1317(OL)"</f>
        <v>1317(OL)</v>
      </c>
      <c r="B457" t="s">
        <v>4129</v>
      </c>
    </row>
    <row r="458" spans="1:2" x14ac:dyDescent="0.3">
      <c r="A458" t="str">
        <f>"131901-1"</f>
        <v>131901-1</v>
      </c>
      <c r="B458" t="s">
        <v>136</v>
      </c>
    </row>
    <row r="459" spans="1:2" x14ac:dyDescent="0.3">
      <c r="A459" t="str">
        <f>"13206-001"</f>
        <v>13206-001</v>
      </c>
      <c r="B459" t="s">
        <v>2972</v>
      </c>
    </row>
    <row r="460" spans="1:2" x14ac:dyDescent="0.3">
      <c r="A460" t="str">
        <f>"1338M79P01"</f>
        <v>1338M79P01</v>
      </c>
      <c r="B460" t="s">
        <v>188</v>
      </c>
    </row>
    <row r="461" spans="1:2" x14ac:dyDescent="0.3">
      <c r="A461" t="str">
        <f>"13435A"</f>
        <v>13435A</v>
      </c>
      <c r="B461" t="s">
        <v>2781</v>
      </c>
    </row>
    <row r="462" spans="1:2" x14ac:dyDescent="0.3">
      <c r="A462" t="str">
        <f>"13435CDKGU93"</f>
        <v>13435CDKGU93</v>
      </c>
      <c r="B462" t="s">
        <v>1900</v>
      </c>
    </row>
    <row r="463" spans="1:2" x14ac:dyDescent="0.3">
      <c r="A463" t="str">
        <f>"13445A"</f>
        <v>13445A</v>
      </c>
      <c r="B463" t="s">
        <v>2779</v>
      </c>
    </row>
    <row r="464" spans="1:2" x14ac:dyDescent="0.3">
      <c r="A464" t="str">
        <f>"13600LA902A3"</f>
        <v>13600LA902A3</v>
      </c>
      <c r="B464" t="s">
        <v>2240</v>
      </c>
    </row>
    <row r="465" spans="1:2" x14ac:dyDescent="0.3">
      <c r="A465" t="str">
        <f>"137-00-100-09"</f>
        <v>137-00-100-09</v>
      </c>
      <c r="B465" t="s">
        <v>4607</v>
      </c>
    </row>
    <row r="466" spans="1:2" x14ac:dyDescent="0.3">
      <c r="A466" t="str">
        <f>"137-085-1104"</f>
        <v>137-085-1104</v>
      </c>
      <c r="B466" t="s">
        <v>119</v>
      </c>
    </row>
    <row r="467" spans="1:2" x14ac:dyDescent="0.3">
      <c r="A467" t="str">
        <f>"137300-78"</f>
        <v>137300-78</v>
      </c>
      <c r="B467" t="s">
        <v>381</v>
      </c>
    </row>
    <row r="468" spans="1:2" x14ac:dyDescent="0.3">
      <c r="A468" t="str">
        <f>"13740-001"</f>
        <v>13740-001</v>
      </c>
      <c r="B468" t="s">
        <v>13</v>
      </c>
    </row>
    <row r="469" spans="1:2" x14ac:dyDescent="0.3">
      <c r="A469" t="str">
        <f>"139302-03"</f>
        <v>139302-03</v>
      </c>
      <c r="B469" t="s">
        <v>3535</v>
      </c>
    </row>
    <row r="470" spans="1:2" x14ac:dyDescent="0.3">
      <c r="A470" t="str">
        <f>"1394T100-12RA"</f>
        <v>1394T100-12RA</v>
      </c>
      <c r="B470" t="s">
        <v>971</v>
      </c>
    </row>
    <row r="471" spans="1:2" x14ac:dyDescent="0.3">
      <c r="A471" t="s">
        <v>1023</v>
      </c>
      <c r="B471" t="s">
        <v>1020</v>
      </c>
    </row>
    <row r="472" spans="1:2" x14ac:dyDescent="0.3">
      <c r="A472" t="str">
        <f>"140-200"</f>
        <v>140-200</v>
      </c>
      <c r="B472" t="s">
        <v>101</v>
      </c>
    </row>
    <row r="473" spans="1:2" x14ac:dyDescent="0.3">
      <c r="A473" t="str">
        <f>"140N2022-1"</f>
        <v>140N2022-1</v>
      </c>
      <c r="B473" t="s">
        <v>1940</v>
      </c>
    </row>
    <row r="474" spans="1:2" x14ac:dyDescent="0.3">
      <c r="A474" t="str">
        <f>"140W2813-1"</f>
        <v>140W2813-1</v>
      </c>
      <c r="B474" t="s">
        <v>492</v>
      </c>
    </row>
    <row r="475" spans="1:2" x14ac:dyDescent="0.3">
      <c r="A475" t="str">
        <f>"14120-001"</f>
        <v>14120-001</v>
      </c>
      <c r="B475" t="s">
        <v>13</v>
      </c>
    </row>
    <row r="476" spans="1:2" x14ac:dyDescent="0.3">
      <c r="A476" t="str">
        <f>"14130-25"</f>
        <v>14130-25</v>
      </c>
      <c r="B476" t="s">
        <v>1558</v>
      </c>
    </row>
    <row r="477" spans="1:2" x14ac:dyDescent="0.3">
      <c r="A477" t="str">
        <f>"141A4800-1"</f>
        <v>141A4800-1</v>
      </c>
      <c r="B477" t="s">
        <v>3350</v>
      </c>
    </row>
    <row r="478" spans="1:2" x14ac:dyDescent="0.3">
      <c r="A478" t="str">
        <f>"141A4800-2"</f>
        <v>141A4800-2</v>
      </c>
      <c r="B478" t="s">
        <v>3399</v>
      </c>
    </row>
    <row r="479" spans="1:2" x14ac:dyDescent="0.3">
      <c r="A479" t="str">
        <f>"141A6076-1"</f>
        <v>141A6076-1</v>
      </c>
      <c r="B479" t="s">
        <v>4643</v>
      </c>
    </row>
    <row r="480" spans="1:2" x14ac:dyDescent="0.3">
      <c r="A480" t="str">
        <f>"141T4801-49"</f>
        <v>141T4801-49</v>
      </c>
      <c r="B480" t="s">
        <v>1</v>
      </c>
    </row>
    <row r="481" spans="1:2" x14ac:dyDescent="0.3">
      <c r="A481" t="str">
        <f>"141T4801-50"</f>
        <v>141T4801-50</v>
      </c>
    </row>
    <row r="482" spans="1:2" x14ac:dyDescent="0.3">
      <c r="A482" t="str">
        <f>"14300-139"</f>
        <v>14300-139</v>
      </c>
      <c r="B482" t="s">
        <v>3925</v>
      </c>
    </row>
    <row r="483" spans="1:2" x14ac:dyDescent="0.3">
      <c r="A483" t="str">
        <f>"14312-050"</f>
        <v>14312-050</v>
      </c>
      <c r="B483" t="s">
        <v>3957</v>
      </c>
    </row>
    <row r="484" spans="1:2" x14ac:dyDescent="0.3">
      <c r="A484" t="str">
        <f>"14330-086"</f>
        <v>14330-086</v>
      </c>
      <c r="B484" t="s">
        <v>132</v>
      </c>
    </row>
    <row r="485" spans="1:2" x14ac:dyDescent="0.3">
      <c r="A485" t="str">
        <f>"14330-231-201"</f>
        <v>14330-231-201</v>
      </c>
      <c r="B485" t="s">
        <v>4504</v>
      </c>
    </row>
    <row r="486" spans="1:2" x14ac:dyDescent="0.3">
      <c r="A486" t="str">
        <f>"143719-21"</f>
        <v>143719-21</v>
      </c>
      <c r="B486" t="s">
        <v>4475</v>
      </c>
    </row>
    <row r="487" spans="1:2" x14ac:dyDescent="0.3">
      <c r="A487" t="str">
        <f>"14390-002"</f>
        <v>14390-002</v>
      </c>
      <c r="B487" t="s">
        <v>3138</v>
      </c>
    </row>
    <row r="488" spans="1:2" x14ac:dyDescent="0.3">
      <c r="A488" t="str">
        <f>"14-4039-0010"</f>
        <v>14-4039-0010</v>
      </c>
      <c r="B488" t="s">
        <v>1148</v>
      </c>
    </row>
    <row r="489" spans="1:2" x14ac:dyDescent="0.3">
      <c r="A489" t="str">
        <f>"144-148-000-021"</f>
        <v>144-148-000-021</v>
      </c>
      <c r="B489" t="s">
        <v>511</v>
      </c>
    </row>
    <row r="490" spans="1:2" x14ac:dyDescent="0.3">
      <c r="A490" t="str">
        <f>"145-09942-401"</f>
        <v>145-09942-401</v>
      </c>
      <c r="B490" t="s">
        <v>897</v>
      </c>
    </row>
    <row r="491" spans="1:2" x14ac:dyDescent="0.3">
      <c r="A491" t="str">
        <f>"145-09942-405"</f>
        <v>145-09942-405</v>
      </c>
      <c r="B491" t="s">
        <v>897</v>
      </c>
    </row>
    <row r="492" spans="1:2" x14ac:dyDescent="0.3">
      <c r="A492" t="str">
        <f>"1452-011"</f>
        <v>1452-011</v>
      </c>
      <c r="B492" t="s">
        <v>151</v>
      </c>
    </row>
    <row r="493" spans="1:2" x14ac:dyDescent="0.3">
      <c r="A493" t="str">
        <f>"145-22459-003"</f>
        <v>145-22459-003</v>
      </c>
      <c r="B493" t="s">
        <v>3530</v>
      </c>
    </row>
    <row r="494" spans="1:2" x14ac:dyDescent="0.3">
      <c r="A494" t="str">
        <f>"14-6806-6011"</f>
        <v>14-6806-6011</v>
      </c>
      <c r="B494" t="s">
        <v>1146</v>
      </c>
    </row>
    <row r="495" spans="1:2" x14ac:dyDescent="0.3">
      <c r="A495" t="str">
        <f>"149-121E"</f>
        <v>149-121E</v>
      </c>
      <c r="B495" t="s">
        <v>2834</v>
      </c>
    </row>
    <row r="496" spans="1:2" x14ac:dyDescent="0.3">
      <c r="A496" t="str">
        <f>"1495"</f>
        <v>1495</v>
      </c>
      <c r="B496" t="s">
        <v>11</v>
      </c>
    </row>
    <row r="497" spans="1:2" x14ac:dyDescent="0.3">
      <c r="A497" t="str">
        <f>"149A7644-8"</f>
        <v>149A7644-8</v>
      </c>
      <c r="B497" t="s">
        <v>132</v>
      </c>
    </row>
    <row r="498" spans="1:2" x14ac:dyDescent="0.3">
      <c r="A498" t="str">
        <f>"149A7661-46"</f>
        <v>149A7661-46</v>
      </c>
      <c r="B498" t="s">
        <v>3112</v>
      </c>
    </row>
    <row r="499" spans="1:2" x14ac:dyDescent="0.3">
      <c r="A499" t="str">
        <f>"149A7661-56"</f>
        <v>149A7661-56</v>
      </c>
      <c r="B499" t="s">
        <v>3112</v>
      </c>
    </row>
    <row r="500" spans="1:2" x14ac:dyDescent="0.3">
      <c r="A500" t="str">
        <f>"149A7661-57"</f>
        <v>149A7661-57</v>
      </c>
      <c r="B500" t="s">
        <v>3112</v>
      </c>
    </row>
    <row r="501" spans="1:2" x14ac:dyDescent="0.3">
      <c r="A501" t="str">
        <f>"149A7661-61"</f>
        <v>149A7661-61</v>
      </c>
      <c r="B501" t="s">
        <v>132</v>
      </c>
    </row>
    <row r="502" spans="1:2" x14ac:dyDescent="0.3">
      <c r="A502" t="str">
        <f>"14A0125-16"</f>
        <v>14A0125-16</v>
      </c>
      <c r="B502" t="s">
        <v>4064</v>
      </c>
    </row>
    <row r="503" spans="1:2" x14ac:dyDescent="0.3">
      <c r="A503" t="str">
        <f>"14A0125-17"</f>
        <v>14A0125-17</v>
      </c>
      <c r="B503" t="s">
        <v>4062</v>
      </c>
    </row>
    <row r="504" spans="1:2" x14ac:dyDescent="0.3">
      <c r="A504" t="str">
        <f>"14A0125-18"</f>
        <v>14A0125-18</v>
      </c>
      <c r="B504" t="s">
        <v>4062</v>
      </c>
    </row>
    <row r="505" spans="1:2" x14ac:dyDescent="0.3">
      <c r="A505" t="str">
        <f>"14A0125-20"</f>
        <v>14A0125-20</v>
      </c>
      <c r="B505" t="s">
        <v>4062</v>
      </c>
    </row>
    <row r="506" spans="1:2" x14ac:dyDescent="0.3">
      <c r="A506" t="str">
        <f>"14C0125-18"</f>
        <v>14C0125-18</v>
      </c>
      <c r="B506" t="s">
        <v>366</v>
      </c>
    </row>
    <row r="507" spans="1:2" x14ac:dyDescent="0.3">
      <c r="A507" t="str">
        <f>"15-0712-6"</f>
        <v>15-0712-6</v>
      </c>
      <c r="B507" t="s">
        <v>1563</v>
      </c>
    </row>
    <row r="508" spans="1:2" x14ac:dyDescent="0.3">
      <c r="A508" t="str">
        <f>"150G"</f>
        <v>150G</v>
      </c>
      <c r="B508" t="s">
        <v>2496</v>
      </c>
    </row>
    <row r="509" spans="1:2" x14ac:dyDescent="0.3">
      <c r="A509" t="str">
        <f>"150SG1070"</f>
        <v>150SG1070</v>
      </c>
      <c r="B509" t="s">
        <v>4687</v>
      </c>
    </row>
    <row r="510" spans="1:2" x14ac:dyDescent="0.3">
      <c r="A510" t="str">
        <f>"150SG1071"</f>
        <v>150SG1071</v>
      </c>
      <c r="B510" t="s">
        <v>246</v>
      </c>
    </row>
    <row r="511" spans="1:2" x14ac:dyDescent="0.3">
      <c r="A511" t="str">
        <f>"151-0046"</f>
        <v>151-0046</v>
      </c>
      <c r="B511" t="s">
        <v>2218</v>
      </c>
    </row>
    <row r="512" spans="1:2" x14ac:dyDescent="0.3">
      <c r="A512" t="str">
        <f>"151-0076"</f>
        <v>151-0076</v>
      </c>
      <c r="B512" t="s">
        <v>133</v>
      </c>
    </row>
    <row r="513" spans="1:2" x14ac:dyDescent="0.3">
      <c r="A513" t="str">
        <f>"151-2012"</f>
        <v>151-2012</v>
      </c>
      <c r="B513" t="s">
        <v>3700</v>
      </c>
    </row>
    <row r="514" spans="1:2" x14ac:dyDescent="0.3">
      <c r="A514" t="str">
        <f>"151725-16"</f>
        <v>151725-16</v>
      </c>
      <c r="B514" t="s">
        <v>3990</v>
      </c>
    </row>
    <row r="515" spans="1:2" x14ac:dyDescent="0.3">
      <c r="A515" t="str">
        <f>"151890"</f>
        <v>151890</v>
      </c>
      <c r="B515" t="s">
        <v>188</v>
      </c>
    </row>
    <row r="516" spans="1:2" x14ac:dyDescent="0.3">
      <c r="A516" t="str">
        <f>"15190"</f>
        <v>15190</v>
      </c>
      <c r="B516" t="s">
        <v>3817</v>
      </c>
    </row>
    <row r="517" spans="1:2" x14ac:dyDescent="0.3">
      <c r="A517" t="str">
        <f>"15193"</f>
        <v>15193</v>
      </c>
      <c r="B517" t="s">
        <v>3814</v>
      </c>
    </row>
    <row r="518" spans="1:2" x14ac:dyDescent="0.3">
      <c r="A518" t="str">
        <f>"152-0003"</f>
        <v>152-0003</v>
      </c>
      <c r="B518" t="s">
        <v>133</v>
      </c>
    </row>
    <row r="519" spans="1:2" x14ac:dyDescent="0.3">
      <c r="A519" t="str">
        <f>"15-20009"</f>
        <v>15-20009</v>
      </c>
      <c r="B519" t="s">
        <v>336</v>
      </c>
    </row>
    <row r="520" spans="1:2" x14ac:dyDescent="0.3">
      <c r="A520" t="str">
        <f>"152-0033"</f>
        <v>152-0033</v>
      </c>
      <c r="B520" t="s">
        <v>133</v>
      </c>
    </row>
    <row r="521" spans="1:2" x14ac:dyDescent="0.3">
      <c r="A521" t="str">
        <f>"1525-098-1"</f>
        <v>1525-098-1</v>
      </c>
      <c r="B521" t="s">
        <v>381</v>
      </c>
    </row>
    <row r="522" spans="1:2" x14ac:dyDescent="0.3">
      <c r="A522" t="str">
        <f>"1525-190"</f>
        <v>1525-190</v>
      </c>
      <c r="B522" t="s">
        <v>2758</v>
      </c>
    </row>
    <row r="523" spans="1:2" x14ac:dyDescent="0.3">
      <c r="A523" t="str">
        <f>"15276"</f>
        <v>15276</v>
      </c>
      <c r="B523" t="s">
        <v>3813</v>
      </c>
    </row>
    <row r="524" spans="1:2" x14ac:dyDescent="0.3">
      <c r="A524" t="str">
        <f>"15278"</f>
        <v>15278</v>
      </c>
      <c r="B524" t="s">
        <v>3815</v>
      </c>
    </row>
    <row r="525" spans="1:2" x14ac:dyDescent="0.3">
      <c r="A525" t="str">
        <f>"15279"</f>
        <v>15279</v>
      </c>
      <c r="B525" t="s">
        <v>3816</v>
      </c>
    </row>
    <row r="526" spans="1:2" x14ac:dyDescent="0.3">
      <c r="A526" t="str">
        <f>"153-00300"</f>
        <v>153-00300</v>
      </c>
      <c r="B526" t="s">
        <v>1098</v>
      </c>
    </row>
    <row r="527" spans="1:2" x14ac:dyDescent="0.3">
      <c r="A527" t="str">
        <f>"153-00400"</f>
        <v>153-00400</v>
      </c>
      <c r="B527" t="s">
        <v>2394</v>
      </c>
    </row>
    <row r="528" spans="1:2" x14ac:dyDescent="0.3">
      <c r="A528" t="str">
        <f>"153-00800"</f>
        <v>153-00800</v>
      </c>
      <c r="B528" t="s">
        <v>1098</v>
      </c>
    </row>
    <row r="529" spans="1:2" x14ac:dyDescent="0.3">
      <c r="A529" t="str">
        <f>"153-01500"</f>
        <v>153-01500</v>
      </c>
      <c r="B529" t="s">
        <v>1098</v>
      </c>
    </row>
    <row r="530" spans="1:2" x14ac:dyDescent="0.3">
      <c r="A530" t="str">
        <f>"153-02600"</f>
        <v>153-02600</v>
      </c>
    </row>
    <row r="531" spans="1:2" x14ac:dyDescent="0.3">
      <c r="A531" t="str">
        <f>"1530482-15"</f>
        <v>1530482-15</v>
      </c>
      <c r="B531" t="s">
        <v>521</v>
      </c>
    </row>
    <row r="532" spans="1:2" x14ac:dyDescent="0.3">
      <c r="A532" t="str">
        <f>"154-00300"</f>
        <v>154-00300</v>
      </c>
      <c r="B532" t="s">
        <v>1094</v>
      </c>
    </row>
    <row r="533" spans="1:2" x14ac:dyDescent="0.3">
      <c r="A533" t="str">
        <f>"154005"</f>
        <v>154005</v>
      </c>
      <c r="B533" t="s">
        <v>956</v>
      </c>
    </row>
    <row r="534" spans="1:2" x14ac:dyDescent="0.3">
      <c r="A534" t="str">
        <f>"154-00600"</f>
        <v>154-00600</v>
      </c>
      <c r="B534" t="s">
        <v>1094</v>
      </c>
    </row>
    <row r="535" spans="1:2" x14ac:dyDescent="0.3">
      <c r="A535" t="str">
        <f>"154-01300"</f>
        <v>154-01300</v>
      </c>
      <c r="B535" t="s">
        <v>1094</v>
      </c>
    </row>
    <row r="536" spans="1:2" x14ac:dyDescent="0.3">
      <c r="A536" t="str">
        <f>"154-01400"</f>
        <v>154-01400</v>
      </c>
      <c r="B536" t="s">
        <v>1533</v>
      </c>
    </row>
    <row r="537" spans="1:2" x14ac:dyDescent="0.3">
      <c r="A537" t="str">
        <f>"1540514-3"</f>
        <v>1540514-3</v>
      </c>
      <c r="B537" t="s">
        <v>22</v>
      </c>
    </row>
    <row r="538" spans="1:2" x14ac:dyDescent="0.3">
      <c r="A538" t="str">
        <f>"1540515-3"</f>
        <v>1540515-3</v>
      </c>
      <c r="B538" t="s">
        <v>4288</v>
      </c>
    </row>
    <row r="539" spans="1:2" x14ac:dyDescent="0.3">
      <c r="A539" t="str">
        <f>"15-40F-11"</f>
        <v>15-40F-11</v>
      </c>
      <c r="B539" t="s">
        <v>1212</v>
      </c>
    </row>
    <row r="540" spans="1:2" x14ac:dyDescent="0.3">
      <c r="A540" t="str">
        <f>"1545643-1"</f>
        <v>1545643-1</v>
      </c>
      <c r="B540" t="s">
        <v>139</v>
      </c>
    </row>
    <row r="541" spans="1:2" x14ac:dyDescent="0.3">
      <c r="A541" t="str">
        <f>"154BS107-1"</f>
        <v>154BS107-1</v>
      </c>
      <c r="B541" t="s">
        <v>4351</v>
      </c>
    </row>
    <row r="542" spans="1:2" x14ac:dyDescent="0.3">
      <c r="A542" t="str">
        <f>"154BY"</f>
        <v>154BY</v>
      </c>
      <c r="B542" t="s">
        <v>511</v>
      </c>
    </row>
    <row r="543" spans="1:2" x14ac:dyDescent="0.3">
      <c r="A543" t="str">
        <f>"155-00100"</f>
        <v>155-00100</v>
      </c>
      <c r="B543" t="s">
        <v>1095</v>
      </c>
    </row>
    <row r="544" spans="1:2" x14ac:dyDescent="0.3">
      <c r="A544" t="str">
        <f>"155-00200"</f>
        <v>155-00200</v>
      </c>
      <c r="B544" t="s">
        <v>1095</v>
      </c>
    </row>
    <row r="545" spans="1:2" x14ac:dyDescent="0.3">
      <c r="A545" t="str">
        <f>"155-0047"</f>
        <v>155-0047</v>
      </c>
      <c r="B545" t="s">
        <v>1312</v>
      </c>
    </row>
    <row r="546" spans="1:2" x14ac:dyDescent="0.3">
      <c r="A546" t="str">
        <f>"155006-06-23"</f>
        <v>155006-06-23</v>
      </c>
      <c r="B546" t="s">
        <v>895</v>
      </c>
    </row>
    <row r="547" spans="1:2" x14ac:dyDescent="0.3">
      <c r="A547" t="str">
        <f>"155-0111"</f>
        <v>155-0111</v>
      </c>
      <c r="B547" t="s">
        <v>133</v>
      </c>
    </row>
    <row r="548" spans="1:2" x14ac:dyDescent="0.3">
      <c r="A548" t="str">
        <f>"15800-246"</f>
        <v>15800-246</v>
      </c>
      <c r="B548" t="s">
        <v>4053</v>
      </c>
    </row>
    <row r="549" spans="1:2" x14ac:dyDescent="0.3">
      <c r="A549" t="str">
        <f>"15800-349-7"</f>
        <v>15800-349-7</v>
      </c>
      <c r="B549" t="s">
        <v>136</v>
      </c>
    </row>
    <row r="550" spans="1:2" x14ac:dyDescent="0.3">
      <c r="A550" t="str">
        <f>"15800-357-2"</f>
        <v>15800-357-2</v>
      </c>
      <c r="B550" t="s">
        <v>1856</v>
      </c>
    </row>
    <row r="551" spans="1:2" x14ac:dyDescent="0.3">
      <c r="A551" t="str">
        <f>"15800-357-3"</f>
        <v>15800-357-3</v>
      </c>
      <c r="B551" t="s">
        <v>137</v>
      </c>
    </row>
    <row r="552" spans="1:2" x14ac:dyDescent="0.3">
      <c r="A552" t="str">
        <f>"15800-359-2"</f>
        <v>15800-359-2</v>
      </c>
      <c r="B552" t="s">
        <v>1355</v>
      </c>
    </row>
    <row r="553" spans="1:2" x14ac:dyDescent="0.3">
      <c r="A553" t="str">
        <f>"15800-359-8"</f>
        <v>15800-359-8</v>
      </c>
      <c r="B553" t="s">
        <v>173</v>
      </c>
    </row>
    <row r="554" spans="1:2" x14ac:dyDescent="0.3">
      <c r="A554" t="str">
        <f>"1598433-1"</f>
        <v>1598433-1</v>
      </c>
      <c r="B554" t="s">
        <v>246</v>
      </c>
    </row>
    <row r="555" spans="1:2" x14ac:dyDescent="0.3">
      <c r="A555" t="str">
        <f>"15B7603-1000"</f>
        <v>15B7603-1000</v>
      </c>
      <c r="B555" t="s">
        <v>1432</v>
      </c>
    </row>
    <row r="556" spans="1:2" x14ac:dyDescent="0.3">
      <c r="A556" t="str">
        <f>"15F19957-30"</f>
        <v>15F19957-30</v>
      </c>
      <c r="B556" t="s">
        <v>2464</v>
      </c>
    </row>
    <row r="557" spans="1:2" x14ac:dyDescent="0.3">
      <c r="A557" t="str">
        <f>"15F19957-34"</f>
        <v>15F19957-34</v>
      </c>
      <c r="B557" t="s">
        <v>2464</v>
      </c>
    </row>
    <row r="558" spans="1:2" x14ac:dyDescent="0.3">
      <c r="A558" t="str">
        <f>"15F19957-37"</f>
        <v>15F19957-37</v>
      </c>
      <c r="B558" t="s">
        <v>2465</v>
      </c>
    </row>
    <row r="559" spans="1:2" x14ac:dyDescent="0.3">
      <c r="A559" t="str">
        <f>"15PA90-6W"</f>
        <v>15PA90-6W</v>
      </c>
      <c r="B559" t="s">
        <v>129</v>
      </c>
    </row>
    <row r="560" spans="1:2" x14ac:dyDescent="0.3">
      <c r="A560" t="str">
        <f>"16007-045"</f>
        <v>16007-045</v>
      </c>
    </row>
    <row r="561" spans="1:2" x14ac:dyDescent="0.3">
      <c r="A561" t="str">
        <f>"160-11103-990"</f>
        <v>160-11103-990</v>
      </c>
      <c r="B561" t="s">
        <v>3897</v>
      </c>
    </row>
    <row r="562" spans="1:2" x14ac:dyDescent="0.3">
      <c r="A562" t="str">
        <f>"160-30"</f>
        <v>160-30</v>
      </c>
      <c r="B562" t="s">
        <v>247</v>
      </c>
    </row>
    <row r="563" spans="1:2" x14ac:dyDescent="0.3">
      <c r="A563" t="str">
        <f>"160414"</f>
        <v>160414</v>
      </c>
      <c r="B563" t="s">
        <v>1364</v>
      </c>
    </row>
    <row r="564" spans="1:2" x14ac:dyDescent="0.3">
      <c r="A564" t="str">
        <f>"160544-1"</f>
        <v>160544-1</v>
      </c>
      <c r="B564" t="s">
        <v>1775</v>
      </c>
    </row>
    <row r="565" spans="1:2" x14ac:dyDescent="0.3">
      <c r="A565" t="str">
        <f>"160554-01"</f>
        <v>160554-01</v>
      </c>
      <c r="B565" t="s">
        <v>181</v>
      </c>
    </row>
    <row r="566" spans="1:2" x14ac:dyDescent="0.3">
      <c r="A566" t="str">
        <f>"1610-128-050A7"</f>
        <v>1610-128-050A7</v>
      </c>
      <c r="B566" t="s">
        <v>2318</v>
      </c>
    </row>
    <row r="567" spans="1:2" x14ac:dyDescent="0.3">
      <c r="A567" t="str">
        <f>"1610-128-080A7"</f>
        <v>1610-128-080A7</v>
      </c>
      <c r="B567" t="s">
        <v>2318</v>
      </c>
    </row>
    <row r="568" spans="1:2" x14ac:dyDescent="0.3">
      <c r="A568" t="str">
        <f>"161-03000"</f>
        <v>161-03000</v>
      </c>
      <c r="B568" t="s">
        <v>1564</v>
      </c>
    </row>
    <row r="569" spans="1:2" x14ac:dyDescent="0.3">
      <c r="A569" t="str">
        <f>"161-03100"</f>
        <v>161-03100</v>
      </c>
      <c r="B569" t="s">
        <v>1091</v>
      </c>
    </row>
    <row r="570" spans="1:2" x14ac:dyDescent="0.3">
      <c r="A570" t="str">
        <f>"161-11100"</f>
        <v>161-11100</v>
      </c>
      <c r="B570" t="s">
        <v>1236</v>
      </c>
    </row>
    <row r="571" spans="1:2" x14ac:dyDescent="0.3">
      <c r="A571" t="str">
        <f>"161A1120-2"</f>
        <v>161A1120-2</v>
      </c>
      <c r="B571" t="s">
        <v>546</v>
      </c>
    </row>
    <row r="572" spans="1:2" x14ac:dyDescent="0.3">
      <c r="A572" t="str">
        <f>"162-02700"</f>
        <v>162-02700</v>
      </c>
      <c r="B572" t="s">
        <v>1565</v>
      </c>
    </row>
    <row r="573" spans="1:2" x14ac:dyDescent="0.3">
      <c r="A573" t="str">
        <f>"162-02800"</f>
        <v>162-02800</v>
      </c>
      <c r="B573" t="s">
        <v>1092</v>
      </c>
    </row>
    <row r="574" spans="1:2" x14ac:dyDescent="0.3">
      <c r="A574" t="str">
        <f>"162-08100"</f>
        <v>162-08100</v>
      </c>
      <c r="B574" t="s">
        <v>1092</v>
      </c>
    </row>
    <row r="575" spans="1:2" x14ac:dyDescent="0.3">
      <c r="A575" t="str">
        <f>"162396-002"</f>
        <v>162396-002</v>
      </c>
      <c r="B575" t="s">
        <v>153</v>
      </c>
    </row>
    <row r="576" spans="1:2" x14ac:dyDescent="0.3">
      <c r="A576" t="str">
        <f>"16248-11"</f>
        <v>16248-11</v>
      </c>
      <c r="B576" t="s">
        <v>1987</v>
      </c>
    </row>
    <row r="577" spans="1:2" x14ac:dyDescent="0.3">
      <c r="A577" t="str">
        <f>"1638"</f>
        <v>1638</v>
      </c>
      <c r="B577" t="s">
        <v>1725</v>
      </c>
    </row>
    <row r="578" spans="1:2" x14ac:dyDescent="0.3">
      <c r="A578" t="str">
        <f>"164-01501"</f>
        <v>164-01501</v>
      </c>
      <c r="B578" t="s">
        <v>1566</v>
      </c>
    </row>
    <row r="579" spans="1:2" x14ac:dyDescent="0.3">
      <c r="A579" t="str">
        <f>"164-21200"</f>
        <v>164-21200</v>
      </c>
      <c r="B579" t="s">
        <v>1173</v>
      </c>
    </row>
    <row r="580" spans="1:2" x14ac:dyDescent="0.3">
      <c r="A580" t="str">
        <f>"164829"</f>
        <v>164829</v>
      </c>
      <c r="B580" t="s">
        <v>3059</v>
      </c>
    </row>
    <row r="581" spans="1:2" x14ac:dyDescent="0.3">
      <c r="A581" t="str">
        <f>"1654-9"</f>
        <v>1654-9</v>
      </c>
      <c r="B581" t="s">
        <v>3413</v>
      </c>
    </row>
    <row r="582" spans="1:2" x14ac:dyDescent="0.3">
      <c r="A582" t="str">
        <f>"1656-6"</f>
        <v>1656-6</v>
      </c>
      <c r="B582" t="s">
        <v>181</v>
      </c>
    </row>
    <row r="583" spans="1:2" x14ac:dyDescent="0.3">
      <c r="A583" t="str">
        <f>"16606"</f>
        <v>16606</v>
      </c>
      <c r="B583" t="s">
        <v>3047</v>
      </c>
    </row>
    <row r="584" spans="1:2" x14ac:dyDescent="0.3">
      <c r="A584" t="str">
        <f>"166160"</f>
        <v>166160</v>
      </c>
      <c r="B584" t="s">
        <v>2256</v>
      </c>
    </row>
    <row r="585" spans="1:2" x14ac:dyDescent="0.3">
      <c r="A585" t="str">
        <f>"16630"</f>
        <v>16630</v>
      </c>
      <c r="B585" t="s">
        <v>1303</v>
      </c>
    </row>
    <row r="586" spans="1:2" x14ac:dyDescent="0.3">
      <c r="A586" t="str">
        <f>"1665"</f>
        <v>1665</v>
      </c>
      <c r="B586" t="s">
        <v>11</v>
      </c>
    </row>
    <row r="587" spans="1:2" x14ac:dyDescent="0.3">
      <c r="A587" t="str">
        <f>"1665 (GE)"</f>
        <v>1665 (GE)</v>
      </c>
      <c r="B587" t="s">
        <v>11</v>
      </c>
    </row>
    <row r="588" spans="1:2" x14ac:dyDescent="0.3">
      <c r="A588" t="str">
        <f>"1665 (OL)"</f>
        <v>1665 (OL)</v>
      </c>
      <c r="B588" t="s">
        <v>11</v>
      </c>
    </row>
    <row r="589" spans="1:2" x14ac:dyDescent="0.3">
      <c r="A589" t="str">
        <f>"1665IF"</f>
        <v>1665IF</v>
      </c>
      <c r="B589" t="s">
        <v>11</v>
      </c>
    </row>
    <row r="590" spans="1:2" x14ac:dyDescent="0.3">
      <c r="A590" t="str">
        <f>"166891-01-01"</f>
        <v>166891-01-01</v>
      </c>
      <c r="B590" t="s">
        <v>960</v>
      </c>
    </row>
    <row r="591" spans="1:2" x14ac:dyDescent="0.3">
      <c r="A591" t="str">
        <f>"167147-01"</f>
        <v>167147-01</v>
      </c>
      <c r="B591" t="s">
        <v>3806</v>
      </c>
    </row>
    <row r="592" spans="1:2" x14ac:dyDescent="0.3">
      <c r="A592" t="str">
        <f>"16758"</f>
        <v>16758</v>
      </c>
      <c r="B592" t="s">
        <v>1945</v>
      </c>
    </row>
    <row r="593" spans="1:2" x14ac:dyDescent="0.3">
      <c r="A593" t="str">
        <f>"168-11"</f>
        <v>168-11</v>
      </c>
      <c r="B593" t="s">
        <v>136</v>
      </c>
    </row>
    <row r="594" spans="1:2" x14ac:dyDescent="0.3">
      <c r="A594" t="str">
        <f>"1683"</f>
        <v>1683</v>
      </c>
      <c r="B594" t="s">
        <v>882</v>
      </c>
    </row>
    <row r="595" spans="1:2" x14ac:dyDescent="0.3">
      <c r="A595" t="str">
        <f>"1683 (CM)"</f>
        <v>1683 (CM)</v>
      </c>
      <c r="B595" t="s">
        <v>623</v>
      </c>
    </row>
    <row r="596" spans="1:2" x14ac:dyDescent="0.3">
      <c r="A596" t="str">
        <f>"1683 (GE)"</f>
        <v>1683 (GE)</v>
      </c>
      <c r="B596" t="s">
        <v>623</v>
      </c>
    </row>
    <row r="597" spans="1:2" x14ac:dyDescent="0.3">
      <c r="A597" t="str">
        <f>"168830-20"</f>
        <v>168830-20</v>
      </c>
      <c r="B597" t="s">
        <v>3933</v>
      </c>
    </row>
    <row r="598" spans="1:2" x14ac:dyDescent="0.3">
      <c r="A598" t="str">
        <f>"1691"</f>
        <v>1691</v>
      </c>
      <c r="B598" t="s">
        <v>11</v>
      </c>
    </row>
    <row r="599" spans="1:2" x14ac:dyDescent="0.3">
      <c r="A599" t="str">
        <f>"1691 (GE)"</f>
        <v>1691 (GE)</v>
      </c>
      <c r="B599" t="s">
        <v>623</v>
      </c>
    </row>
    <row r="600" spans="1:2" x14ac:dyDescent="0.3">
      <c r="A600" t="str">
        <f>"1691 (OL)"</f>
        <v>1691 (OL)</v>
      </c>
      <c r="B600" t="s">
        <v>623</v>
      </c>
    </row>
    <row r="601" spans="1:2" x14ac:dyDescent="0.3">
      <c r="A601" t="str">
        <f>"16920"</f>
        <v>16920</v>
      </c>
      <c r="B601" t="s">
        <v>1825</v>
      </c>
    </row>
    <row r="602" spans="1:2" x14ac:dyDescent="0.3">
      <c r="A602" t="str">
        <f>"16930"</f>
        <v>16930</v>
      </c>
      <c r="B602" t="s">
        <v>1412</v>
      </c>
    </row>
    <row r="603" spans="1:2" x14ac:dyDescent="0.3">
      <c r="A603" t="str">
        <f>"16-A36-F"</f>
        <v>16-A36-F</v>
      </c>
      <c r="B603" t="s">
        <v>1187</v>
      </c>
    </row>
    <row r="604" spans="1:2" x14ac:dyDescent="0.3">
      <c r="A604" t="str">
        <f>"16D118C4"</f>
        <v>16D118C4</v>
      </c>
      <c r="B604" t="s">
        <v>4105</v>
      </c>
    </row>
    <row r="605" spans="1:2" x14ac:dyDescent="0.3">
      <c r="A605" t="str">
        <f>"16GER"</f>
        <v>16GER</v>
      </c>
      <c r="B605" t="s">
        <v>1024</v>
      </c>
    </row>
    <row r="606" spans="1:2" x14ac:dyDescent="0.3">
      <c r="A606" t="str">
        <f>"170080"</f>
        <v>170080</v>
      </c>
      <c r="B606" t="s">
        <v>492</v>
      </c>
    </row>
    <row r="607" spans="1:2" x14ac:dyDescent="0.3">
      <c r="A607" t="str">
        <f>"170-12155-990"</f>
        <v>170-12155-990</v>
      </c>
      <c r="B607" t="s">
        <v>3798</v>
      </c>
    </row>
    <row r="608" spans="1:2" x14ac:dyDescent="0.3">
      <c r="A608" t="str">
        <f>"170-14459-990"</f>
        <v>170-14459-990</v>
      </c>
      <c r="B608" t="s">
        <v>4609</v>
      </c>
    </row>
    <row r="609" spans="1:2" x14ac:dyDescent="0.3">
      <c r="A609" t="str">
        <f>"170-14460-990"</f>
        <v>170-14460-990</v>
      </c>
      <c r="B609" t="s">
        <v>4608</v>
      </c>
    </row>
    <row r="610" spans="1:2" x14ac:dyDescent="0.3">
      <c r="A610" t="str">
        <f>"170-14461-990"</f>
        <v>170-14461-990</v>
      </c>
      <c r="B610" t="s">
        <v>4609</v>
      </c>
    </row>
    <row r="611" spans="1:2" x14ac:dyDescent="0.3">
      <c r="A611" t="str">
        <f>"170157-101"</f>
        <v>170157-101</v>
      </c>
      <c r="B611" t="s">
        <v>3752</v>
      </c>
    </row>
    <row r="612" spans="1:2" x14ac:dyDescent="0.3">
      <c r="A612" t="str">
        <f>"1716P-1"</f>
        <v>1716P-1</v>
      </c>
    </row>
    <row r="613" spans="1:2" x14ac:dyDescent="0.3">
      <c r="A613" t="str">
        <f>"171714-02"</f>
        <v>171714-02</v>
      </c>
      <c r="B613" t="s">
        <v>366</v>
      </c>
    </row>
    <row r="614" spans="1:2" x14ac:dyDescent="0.3">
      <c r="A614" t="str">
        <f>"171K001-4CR-0070"</f>
        <v>171K001-4CR-0070</v>
      </c>
      <c r="B614" t="s">
        <v>1164</v>
      </c>
    </row>
    <row r="615" spans="1:2" x14ac:dyDescent="0.3">
      <c r="A615" t="str">
        <f>"171K001-6CR-0240"</f>
        <v>171K001-6CR-0240</v>
      </c>
      <c r="B615" t="s">
        <v>1163</v>
      </c>
    </row>
    <row r="616" spans="1:2" x14ac:dyDescent="0.3">
      <c r="A616" t="str">
        <f>"171K005-4CR-0160"</f>
        <v>171K005-4CR-0160</v>
      </c>
    </row>
    <row r="617" spans="1:2" x14ac:dyDescent="0.3">
      <c r="A617" t="str">
        <f>"171K005-6CR-0160"</f>
        <v>171K005-6CR-0160</v>
      </c>
      <c r="B617" t="s">
        <v>893</v>
      </c>
    </row>
    <row r="618" spans="1:2" x14ac:dyDescent="0.3">
      <c r="A618" t="str">
        <f>"172225-100A"</f>
        <v>172225-100A</v>
      </c>
      <c r="B618" t="s">
        <v>4126</v>
      </c>
    </row>
    <row r="619" spans="1:2" x14ac:dyDescent="0.3">
      <c r="A619" t="str">
        <f>"172881-01"</f>
        <v>172881-01</v>
      </c>
      <c r="B619" t="s">
        <v>3806</v>
      </c>
    </row>
    <row r="620" spans="1:2" x14ac:dyDescent="0.3">
      <c r="A620" t="str">
        <f>"172934-001"</f>
        <v>172934-001</v>
      </c>
      <c r="B620" t="s">
        <v>13</v>
      </c>
    </row>
    <row r="621" spans="1:2" x14ac:dyDescent="0.3">
      <c r="A621" t="str">
        <f>"1739760"</f>
        <v>1739760</v>
      </c>
      <c r="B621" t="s">
        <v>188</v>
      </c>
    </row>
    <row r="622" spans="1:2" x14ac:dyDescent="0.3">
      <c r="A622" t="str">
        <f>"174097-11"</f>
        <v>174097-11</v>
      </c>
      <c r="B622" t="s">
        <v>1996</v>
      </c>
    </row>
    <row r="623" spans="1:2" x14ac:dyDescent="0.3">
      <c r="A623" t="str">
        <f>"1742243-04"</f>
        <v>1742243-04</v>
      </c>
      <c r="B623" t="s">
        <v>3140</v>
      </c>
    </row>
    <row r="624" spans="1:2" x14ac:dyDescent="0.3">
      <c r="A624" t="str">
        <f>"1742439"</f>
        <v>1742439</v>
      </c>
      <c r="B624" t="s">
        <v>173</v>
      </c>
    </row>
    <row r="625" spans="1:2" x14ac:dyDescent="0.3">
      <c r="A625" t="str">
        <f>"176-12A"</f>
        <v>176-12A</v>
      </c>
      <c r="B625" t="s">
        <v>4262</v>
      </c>
    </row>
    <row r="626" spans="1:2" x14ac:dyDescent="0.3">
      <c r="A626" t="str">
        <f>"1761V"</f>
        <v>1761V</v>
      </c>
      <c r="B626" t="s">
        <v>729</v>
      </c>
    </row>
    <row r="627" spans="1:2" x14ac:dyDescent="0.3">
      <c r="A627" t="str">
        <f>"17671-0001"</f>
        <v>17671-0001</v>
      </c>
      <c r="B627" t="s">
        <v>2046</v>
      </c>
    </row>
    <row r="628" spans="1:2" x14ac:dyDescent="0.3">
      <c r="A628" t="str">
        <f>"17952-872M"</f>
        <v>17952-872M</v>
      </c>
      <c r="B628" t="s">
        <v>391</v>
      </c>
    </row>
    <row r="629" spans="1:2" x14ac:dyDescent="0.3">
      <c r="A629" t="str">
        <f>"179766-1"</f>
        <v>179766-1</v>
      </c>
      <c r="B629" t="s">
        <v>4061</v>
      </c>
    </row>
    <row r="630" spans="1:2" x14ac:dyDescent="0.3">
      <c r="A630" t="str">
        <f>"17F19357"</f>
        <v>17F19357</v>
      </c>
      <c r="B630" t="s">
        <v>1712</v>
      </c>
    </row>
    <row r="631" spans="1:2" x14ac:dyDescent="0.3">
      <c r="A631" t="str">
        <f>"180-0043"</f>
        <v>180-0043</v>
      </c>
      <c r="B631" t="s">
        <v>2525</v>
      </c>
    </row>
    <row r="632" spans="1:2" x14ac:dyDescent="0.3">
      <c r="A632" t="str">
        <f>"180-0051"</f>
        <v>180-0051</v>
      </c>
      <c r="B632" t="s">
        <v>1528</v>
      </c>
    </row>
    <row r="633" spans="1:2" x14ac:dyDescent="0.3">
      <c r="A633" t="str">
        <f>"180-0059"</f>
        <v>180-0059</v>
      </c>
      <c r="B633" t="s">
        <v>1528</v>
      </c>
    </row>
    <row r="634" spans="1:2" x14ac:dyDescent="0.3">
      <c r="A634" t="str">
        <f>"180-0078"</f>
        <v>180-0078</v>
      </c>
      <c r="B634" t="s">
        <v>2525</v>
      </c>
    </row>
    <row r="635" spans="1:2" x14ac:dyDescent="0.3">
      <c r="A635" t="str">
        <f>"18028G-05"</f>
        <v>18028G-05</v>
      </c>
      <c r="B635" t="s">
        <v>3825</v>
      </c>
    </row>
    <row r="636" spans="1:2" x14ac:dyDescent="0.3">
      <c r="A636" t="str">
        <f>"180849-4"</f>
        <v>180849-4</v>
      </c>
      <c r="B636" t="s">
        <v>1113</v>
      </c>
    </row>
    <row r="637" spans="1:2" x14ac:dyDescent="0.3">
      <c r="A637" t="str">
        <f>"1811HA425"</f>
        <v>1811HA425</v>
      </c>
      <c r="B637" t="s">
        <v>3125</v>
      </c>
    </row>
    <row r="638" spans="1:2" x14ac:dyDescent="0.3">
      <c r="A638" t="str">
        <f>"1811HAA0A"</f>
        <v>1811HAA0A</v>
      </c>
      <c r="B638" t="s">
        <v>3410</v>
      </c>
    </row>
    <row r="639" spans="1:2" x14ac:dyDescent="0.3">
      <c r="A639" t="str">
        <f>"18-1738-9"</f>
        <v>18-1738-9</v>
      </c>
      <c r="B639" t="s">
        <v>879</v>
      </c>
    </row>
    <row r="640" spans="1:2" x14ac:dyDescent="0.3">
      <c r="A640" t="str">
        <f>"1820"</f>
        <v>1820</v>
      </c>
      <c r="B640" t="s">
        <v>11</v>
      </c>
    </row>
    <row r="641" spans="1:2" x14ac:dyDescent="0.3">
      <c r="A641" t="str">
        <f>"182820-2"</f>
        <v>182820-2</v>
      </c>
      <c r="B641" t="s">
        <v>514</v>
      </c>
    </row>
    <row r="642" spans="1:2" x14ac:dyDescent="0.3">
      <c r="A642" t="str">
        <f>"183-1504-200"</f>
        <v>183-1504-200</v>
      </c>
      <c r="B642" t="s">
        <v>133</v>
      </c>
    </row>
    <row r="643" spans="1:2" x14ac:dyDescent="0.3">
      <c r="A643" t="str">
        <f>"183-1504-210"</f>
        <v>183-1504-210</v>
      </c>
      <c r="B643" t="s">
        <v>133</v>
      </c>
    </row>
    <row r="644" spans="1:2" x14ac:dyDescent="0.3">
      <c r="A644" t="str">
        <f>"183A3500-21"</f>
        <v>183A3500-21</v>
      </c>
      <c r="B644" t="s">
        <v>128</v>
      </c>
    </row>
    <row r="645" spans="1:2" x14ac:dyDescent="0.3">
      <c r="A645" t="str">
        <f>"18417G-02"</f>
        <v>18417G-02</v>
      </c>
      <c r="B645" t="s">
        <v>410</v>
      </c>
    </row>
    <row r="646" spans="1:2" x14ac:dyDescent="0.3">
      <c r="A646" t="str">
        <f>"18-4200-1100"</f>
        <v>18-4200-1100</v>
      </c>
      <c r="B646" t="s">
        <v>1443</v>
      </c>
    </row>
    <row r="647" spans="1:2" x14ac:dyDescent="0.3">
      <c r="A647" t="str">
        <f>"18550"</f>
        <v>18550</v>
      </c>
    </row>
    <row r="648" spans="1:2" x14ac:dyDescent="0.3">
      <c r="A648" t="str">
        <f>"1864"</f>
        <v>1864</v>
      </c>
      <c r="B648" t="s">
        <v>11</v>
      </c>
    </row>
    <row r="649" spans="1:2" x14ac:dyDescent="0.3">
      <c r="A649" t="str">
        <f>"18821-4"</f>
        <v>18821-4</v>
      </c>
      <c r="B649" t="s">
        <v>1570</v>
      </c>
    </row>
    <row r="650" spans="1:2" x14ac:dyDescent="0.3">
      <c r="A650" t="str">
        <f>"1-899-29"</f>
        <v>1-899-29</v>
      </c>
      <c r="B650" t="s">
        <v>511</v>
      </c>
    </row>
    <row r="651" spans="1:2" x14ac:dyDescent="0.3">
      <c r="A651" t="str">
        <f>"18HM1-1"</f>
        <v>18HM1-1</v>
      </c>
      <c r="B651" t="s">
        <v>13</v>
      </c>
    </row>
    <row r="652" spans="1:2" x14ac:dyDescent="0.3">
      <c r="A652" t="str">
        <f>"190100013"</f>
        <v>190100013</v>
      </c>
      <c r="B652" t="s">
        <v>978</v>
      </c>
    </row>
    <row r="653" spans="1:2" x14ac:dyDescent="0.3">
      <c r="A653" t="str">
        <f>"1903267"</f>
        <v>1903267</v>
      </c>
      <c r="B653" t="s">
        <v>353</v>
      </c>
    </row>
    <row r="654" spans="1:2" x14ac:dyDescent="0.3">
      <c r="A654" t="str">
        <f>"1908003844"</f>
        <v>1908003844</v>
      </c>
      <c r="B654" t="s">
        <v>119</v>
      </c>
    </row>
    <row r="655" spans="1:2" x14ac:dyDescent="0.3">
      <c r="A655" t="str">
        <f>"1912294"</f>
        <v>1912294</v>
      </c>
      <c r="B655" t="s">
        <v>4297</v>
      </c>
    </row>
    <row r="656" spans="1:2" x14ac:dyDescent="0.3">
      <c r="A656" t="str">
        <f>"192-0509-070"</f>
        <v>192-0509-070</v>
      </c>
      <c r="B656" t="s">
        <v>2793</v>
      </c>
    </row>
    <row r="657" spans="1:2" x14ac:dyDescent="0.3">
      <c r="A657" t="str">
        <f>"192864"</f>
        <v>192864</v>
      </c>
      <c r="B657" t="s">
        <v>546</v>
      </c>
    </row>
    <row r="658" spans="1:2" x14ac:dyDescent="0.3">
      <c r="A658" t="s">
        <v>2704</v>
      </c>
      <c r="B658" t="s">
        <v>264</v>
      </c>
    </row>
    <row r="659" spans="1:2" x14ac:dyDescent="0.3">
      <c r="A659" t="str">
        <f>"19396-063"</f>
        <v>19396-063</v>
      </c>
      <c r="B659" t="s">
        <v>264</v>
      </c>
    </row>
    <row r="660" spans="1:2" x14ac:dyDescent="0.3">
      <c r="A660" t="str">
        <f>"194792-4"</f>
        <v>194792-4</v>
      </c>
      <c r="B660" t="s">
        <v>544</v>
      </c>
    </row>
    <row r="661" spans="1:2" x14ac:dyDescent="0.3">
      <c r="A661" t="str">
        <f>"1973L07-1K"</f>
        <v>1973L07-1K</v>
      </c>
      <c r="B661" t="s">
        <v>3293</v>
      </c>
    </row>
    <row r="662" spans="1:2" x14ac:dyDescent="0.3">
      <c r="A662" t="str">
        <f>"1A226-0206"</f>
        <v>1A226-0206</v>
      </c>
      <c r="B662" t="s">
        <v>3966</v>
      </c>
    </row>
    <row r="663" spans="1:2" x14ac:dyDescent="0.3">
      <c r="A663" t="str">
        <f>"1A2313-5"</f>
        <v>1A2313-5</v>
      </c>
      <c r="B663" t="s">
        <v>173</v>
      </c>
    </row>
    <row r="664" spans="1:2" x14ac:dyDescent="0.3">
      <c r="A664" t="str">
        <f>"1A2313-6"</f>
        <v>1A2313-6</v>
      </c>
      <c r="B664" t="s">
        <v>173</v>
      </c>
    </row>
    <row r="665" spans="1:2" x14ac:dyDescent="0.3">
      <c r="A665" t="str">
        <f>"1A2313-7"</f>
        <v>1A2313-7</v>
      </c>
      <c r="B665" t="s">
        <v>173</v>
      </c>
    </row>
    <row r="666" spans="1:2" x14ac:dyDescent="0.3">
      <c r="A666" t="str">
        <f>"1A2419"</f>
        <v>1A2419</v>
      </c>
      <c r="B666" t="s">
        <v>3769</v>
      </c>
    </row>
    <row r="667" spans="1:2" x14ac:dyDescent="0.3">
      <c r="A667" t="str">
        <f>"1A2580-32"</f>
        <v>1A2580-32</v>
      </c>
      <c r="B667" t="s">
        <v>3738</v>
      </c>
    </row>
    <row r="668" spans="1:2" x14ac:dyDescent="0.3">
      <c r="A668" t="str">
        <f>"1A527-0032"</f>
        <v>1A527-0032</v>
      </c>
      <c r="B668" t="s">
        <v>4305</v>
      </c>
    </row>
    <row r="669" spans="1:2" x14ac:dyDescent="0.3">
      <c r="A669" t="str">
        <f>"1A527-0043"</f>
        <v>1A527-0043</v>
      </c>
      <c r="B669" t="s">
        <v>136</v>
      </c>
    </row>
    <row r="670" spans="1:2" x14ac:dyDescent="0.3">
      <c r="A670" t="str">
        <f>"1BI000-1G"</f>
        <v>1BI000-1G</v>
      </c>
      <c r="B670" t="s">
        <v>4353</v>
      </c>
    </row>
    <row r="671" spans="1:2" x14ac:dyDescent="0.3">
      <c r="A671" t="str">
        <f>"1LJ5-76E"</f>
        <v>1LJ5-76E</v>
      </c>
      <c r="B671" t="s">
        <v>1659</v>
      </c>
    </row>
    <row r="672" spans="1:2" x14ac:dyDescent="0.3">
      <c r="A672" t="str">
        <f>"1N3311B"</f>
        <v>1N3311B</v>
      </c>
      <c r="B672" t="s">
        <v>475</v>
      </c>
    </row>
    <row r="673" spans="1:2" x14ac:dyDescent="0.3">
      <c r="A673" t="str">
        <f>"1N4007"</f>
        <v>1N4007</v>
      </c>
      <c r="B673" t="s">
        <v>475</v>
      </c>
    </row>
    <row r="674" spans="1:2" x14ac:dyDescent="0.3">
      <c r="A674" t="str">
        <f>"1N4385"</f>
        <v>1N4385</v>
      </c>
      <c r="B674" t="s">
        <v>475</v>
      </c>
    </row>
    <row r="675" spans="1:2" x14ac:dyDescent="0.3">
      <c r="A675" t="str">
        <f>"1N4733A"</f>
        <v>1N4733A</v>
      </c>
      <c r="B675" t="s">
        <v>475</v>
      </c>
    </row>
    <row r="676" spans="1:2" x14ac:dyDescent="0.3">
      <c r="A676" t="str">
        <f>"1N5061"</f>
        <v>1N5061</v>
      </c>
      <c r="B676" t="s">
        <v>475</v>
      </c>
    </row>
    <row r="677" spans="1:2" x14ac:dyDescent="0.3">
      <c r="A677" t="str">
        <f>"1N751A"</f>
        <v>1N751A</v>
      </c>
      <c r="B677" t="s">
        <v>475</v>
      </c>
    </row>
    <row r="678" spans="1:2" x14ac:dyDescent="0.3">
      <c r="A678" t="str">
        <f>"1N753A"</f>
        <v>1N753A</v>
      </c>
      <c r="B678" t="s">
        <v>475</v>
      </c>
    </row>
    <row r="679" spans="1:2" x14ac:dyDescent="0.3">
      <c r="A679" t="str">
        <f>"1N972A"</f>
        <v>1N972A</v>
      </c>
      <c r="B679" t="s">
        <v>475</v>
      </c>
    </row>
    <row r="680" spans="1:2" x14ac:dyDescent="0.3">
      <c r="A680" t="str">
        <f>"1QM1-2-44A"</f>
        <v>1QM1-2-44A</v>
      </c>
      <c r="B680" t="s">
        <v>3268</v>
      </c>
    </row>
    <row r="681" spans="1:2" x14ac:dyDescent="0.3">
      <c r="A681" t="str">
        <f>"1QM1-3-54A"</f>
        <v>1QM1-3-54A</v>
      </c>
      <c r="B681" t="s">
        <v>3267</v>
      </c>
    </row>
    <row r="682" spans="1:2" x14ac:dyDescent="0.3">
      <c r="A682" t="str">
        <f>"1SX12-T"</f>
        <v>1SX12-T</v>
      </c>
      <c r="B682" t="s">
        <v>13</v>
      </c>
    </row>
    <row r="683" spans="1:2" x14ac:dyDescent="0.3">
      <c r="A683" t="str">
        <f>"1TL150-3D"</f>
        <v>1TL150-3D</v>
      </c>
      <c r="B683" t="s">
        <v>13</v>
      </c>
    </row>
    <row r="684" spans="1:2" x14ac:dyDescent="0.3">
      <c r="A684" t="s">
        <v>1025</v>
      </c>
      <c r="B684" t="s">
        <v>1020</v>
      </c>
    </row>
    <row r="685" spans="1:2" x14ac:dyDescent="0.3">
      <c r="A685" t="str">
        <f>"200-04872-0000"</f>
        <v>200-04872-0000</v>
      </c>
      <c r="B685" t="s">
        <v>1541</v>
      </c>
    </row>
    <row r="686" spans="1:2" x14ac:dyDescent="0.3">
      <c r="A686" t="str">
        <f>"20021-306"</f>
        <v>20021-306</v>
      </c>
      <c r="B686" t="s">
        <v>4036</v>
      </c>
    </row>
    <row r="687" spans="1:2" x14ac:dyDescent="0.3">
      <c r="A687" t="str">
        <f>"200-26604-02"</f>
        <v>200-26604-02</v>
      </c>
      <c r="B687" t="s">
        <v>917</v>
      </c>
    </row>
    <row r="688" spans="1:2" x14ac:dyDescent="0.3">
      <c r="A688" t="str">
        <f>"20046-1"</f>
        <v>20046-1</v>
      </c>
    </row>
    <row r="689" spans="1:2" x14ac:dyDescent="0.3">
      <c r="A689" t="str">
        <f>"20058-9"</f>
        <v>20058-9</v>
      </c>
      <c r="B689" t="s">
        <v>4405</v>
      </c>
    </row>
    <row r="690" spans="1:2" x14ac:dyDescent="0.3">
      <c r="A690" t="str">
        <f>"2-005S1138-70"</f>
        <v>2-005S1138-70</v>
      </c>
      <c r="B690" t="s">
        <v>173</v>
      </c>
    </row>
    <row r="691" spans="1:2" x14ac:dyDescent="0.3">
      <c r="A691" t="str">
        <f>"200650-001"</f>
        <v>200650-001</v>
      </c>
      <c r="B691" t="s">
        <v>470</v>
      </c>
    </row>
    <row r="692" spans="1:2" x14ac:dyDescent="0.3">
      <c r="A692" t="str">
        <f>"20069-012"</f>
        <v>20069-012</v>
      </c>
      <c r="B692" t="s">
        <v>130</v>
      </c>
    </row>
    <row r="693" spans="1:2" x14ac:dyDescent="0.3">
      <c r="A693" t="str">
        <f>"20093-505"</f>
        <v>20093-505</v>
      </c>
      <c r="B693" t="s">
        <v>3204</v>
      </c>
    </row>
    <row r="694" spans="1:2" x14ac:dyDescent="0.3">
      <c r="A694" t="str">
        <f>"200SGL1009"</f>
        <v>200SGL1009</v>
      </c>
    </row>
    <row r="695" spans="1:2" x14ac:dyDescent="0.3">
      <c r="A695" t="str">
        <f>"201172712"</f>
        <v>201172712</v>
      </c>
      <c r="B695" t="s">
        <v>2746</v>
      </c>
    </row>
    <row r="696" spans="1:2" x14ac:dyDescent="0.3">
      <c r="A696" t="str">
        <f>"201279"</f>
        <v>201279</v>
      </c>
      <c r="B696" t="s">
        <v>136</v>
      </c>
    </row>
    <row r="697" spans="1:2" x14ac:dyDescent="0.3">
      <c r="A697" t="str">
        <f>"2-012N602-70"</f>
        <v>2-012N602-70</v>
      </c>
      <c r="B697" t="s">
        <v>188</v>
      </c>
    </row>
    <row r="698" spans="1:2" x14ac:dyDescent="0.3">
      <c r="A698" t="str">
        <f>"20138-1000-0201"</f>
        <v>20138-1000-0201</v>
      </c>
      <c r="B698" t="s">
        <v>2096</v>
      </c>
    </row>
    <row r="699" spans="1:2" x14ac:dyDescent="0.3">
      <c r="A699" t="str">
        <f>"201386"</f>
        <v>201386</v>
      </c>
      <c r="B699" t="s">
        <v>3850</v>
      </c>
    </row>
    <row r="700" spans="1:2" x14ac:dyDescent="0.3">
      <c r="A700" t="str">
        <f>"2017"</f>
        <v>2017</v>
      </c>
      <c r="B700" t="s">
        <v>2207</v>
      </c>
    </row>
    <row r="701" spans="1:2" x14ac:dyDescent="0.3">
      <c r="A701" t="str">
        <f>"2017PK"</f>
        <v>2017PK</v>
      </c>
      <c r="B701" t="s">
        <v>3748</v>
      </c>
    </row>
    <row r="702" spans="1:2" x14ac:dyDescent="0.3">
      <c r="A702" t="str">
        <f>"202002"</f>
        <v>202002</v>
      </c>
      <c r="B702" t="s">
        <v>264</v>
      </c>
    </row>
    <row r="703" spans="1:2" x14ac:dyDescent="0.3">
      <c r="A703" t="str">
        <f>"202331"</f>
        <v>202331</v>
      </c>
      <c r="B703" t="s">
        <v>173</v>
      </c>
    </row>
    <row r="704" spans="1:2" x14ac:dyDescent="0.3">
      <c r="A704" t="str">
        <f>"202381"</f>
        <v>202381</v>
      </c>
      <c r="B704" t="s">
        <v>3641</v>
      </c>
    </row>
    <row r="705" spans="1:2" x14ac:dyDescent="0.3">
      <c r="A705" t="str">
        <f>"20-2700-21-00"</f>
        <v>20-2700-21-00</v>
      </c>
      <c r="B705" t="s">
        <v>1711</v>
      </c>
    </row>
    <row r="706" spans="1:2" x14ac:dyDescent="0.3">
      <c r="A706" t="str">
        <f>"2-032N103-70"</f>
        <v>2-032N103-70</v>
      </c>
      <c r="B706" t="s">
        <v>188</v>
      </c>
    </row>
    <row r="707" spans="1:2" x14ac:dyDescent="0.3">
      <c r="A707" t="str">
        <f>"2036783-0001"</f>
        <v>2036783-0001</v>
      </c>
      <c r="B707" t="s">
        <v>1882</v>
      </c>
    </row>
    <row r="708" spans="1:2" x14ac:dyDescent="0.3">
      <c r="A708" t="str">
        <f>"203J01NAG1"</f>
        <v>203J01NAG1</v>
      </c>
      <c r="B708" t="s">
        <v>3452</v>
      </c>
    </row>
    <row r="709" spans="1:2" x14ac:dyDescent="0.3">
      <c r="A709" t="str">
        <f>"203J01NAG2"</f>
        <v>203J01NAG2</v>
      </c>
      <c r="B709" t="s">
        <v>3452</v>
      </c>
    </row>
    <row r="710" spans="1:2" x14ac:dyDescent="0.3">
      <c r="A710" t="str">
        <f>"2041234-3434"</f>
        <v>2041234-3434</v>
      </c>
      <c r="B710" t="s">
        <v>1262</v>
      </c>
    </row>
    <row r="711" spans="1:2" x14ac:dyDescent="0.3">
      <c r="A711" t="str">
        <f>"2042"</f>
        <v>2042</v>
      </c>
      <c r="B711" t="s">
        <v>2846</v>
      </c>
    </row>
    <row r="712" spans="1:2" x14ac:dyDescent="0.3">
      <c r="A712" t="str">
        <f>"20-630"</f>
        <v>20-630</v>
      </c>
      <c r="B712" t="s">
        <v>3052</v>
      </c>
    </row>
    <row r="713" spans="1:2" x14ac:dyDescent="0.3">
      <c r="A713" t="str">
        <f>"207377-1058"</f>
        <v>207377-1058</v>
      </c>
      <c r="B713" t="s">
        <v>489</v>
      </c>
    </row>
    <row r="714" spans="1:2" x14ac:dyDescent="0.3">
      <c r="A714" t="str">
        <f>"20929"</f>
        <v>20929</v>
      </c>
      <c r="B714" t="s">
        <v>1077</v>
      </c>
    </row>
    <row r="715" spans="1:2" x14ac:dyDescent="0.3">
      <c r="A715" t="s">
        <v>2897</v>
      </c>
      <c r="B715" t="s">
        <v>2898</v>
      </c>
    </row>
    <row r="716" spans="1:2" x14ac:dyDescent="0.3">
      <c r="A716" t="s">
        <v>1026</v>
      </c>
      <c r="B716" t="s">
        <v>1027</v>
      </c>
    </row>
    <row r="717" spans="1:2" x14ac:dyDescent="0.3">
      <c r="A717" t="s">
        <v>3189</v>
      </c>
      <c r="B717" t="s">
        <v>1356</v>
      </c>
    </row>
    <row r="718" spans="1:2" x14ac:dyDescent="0.3">
      <c r="A718" t="str">
        <f>"2100002-01-278"</f>
        <v>2100002-01-278</v>
      </c>
      <c r="B718" t="s">
        <v>2563</v>
      </c>
    </row>
    <row r="719" spans="1:2" x14ac:dyDescent="0.3">
      <c r="A719" t="str">
        <f>"2100011-03"</f>
        <v>2100011-03</v>
      </c>
      <c r="B719" t="s">
        <v>4661</v>
      </c>
    </row>
    <row r="720" spans="1:2" x14ac:dyDescent="0.3">
      <c r="A720" t="str">
        <f>"2100-1"</f>
        <v>2100-1</v>
      </c>
      <c r="B720" t="s">
        <v>13</v>
      </c>
    </row>
    <row r="721" spans="1:2" x14ac:dyDescent="0.3">
      <c r="A721" t="str">
        <f>"2100-1020-00"</f>
        <v>2100-1020-00</v>
      </c>
      <c r="B721" t="s">
        <v>1546</v>
      </c>
    </row>
    <row r="722" spans="1:2" x14ac:dyDescent="0.3">
      <c r="A722" t="str">
        <f>"2100-3"</f>
        <v>2100-3</v>
      </c>
      <c r="B722" t="s">
        <v>13</v>
      </c>
    </row>
    <row r="723" spans="1:2" x14ac:dyDescent="0.3">
      <c r="A723" t="str">
        <f>"21034"</f>
        <v>21034</v>
      </c>
      <c r="B723" t="s">
        <v>353</v>
      </c>
    </row>
    <row r="724" spans="1:2" x14ac:dyDescent="0.3">
      <c r="A724" t="str">
        <f>"210VZ01"</f>
        <v>210VZ01</v>
      </c>
      <c r="B724" t="s">
        <v>3451</v>
      </c>
    </row>
    <row r="725" spans="1:2" x14ac:dyDescent="0.3">
      <c r="A725" t="str">
        <f>"211-0054"</f>
        <v>211-0054</v>
      </c>
      <c r="B725" t="s">
        <v>22</v>
      </c>
    </row>
    <row r="726" spans="1:2" x14ac:dyDescent="0.3">
      <c r="A726" t="str">
        <f>"211-1025"</f>
        <v>211-1025</v>
      </c>
      <c r="B726" t="s">
        <v>2209</v>
      </c>
    </row>
    <row r="727" spans="1:2" x14ac:dyDescent="0.3">
      <c r="A727" t="str">
        <f>"211-103"</f>
        <v>211-103</v>
      </c>
      <c r="B727" t="s">
        <v>18</v>
      </c>
    </row>
    <row r="728" spans="1:2" x14ac:dyDescent="0.3">
      <c r="A728" t="str">
        <f>"212VZ01"</f>
        <v>212VZ01</v>
      </c>
      <c r="B728" t="s">
        <v>13</v>
      </c>
    </row>
    <row r="729" spans="1:2" x14ac:dyDescent="0.3">
      <c r="A729" t="str">
        <f>"213-0235"</f>
        <v>213-0235</v>
      </c>
      <c r="B729" t="s">
        <v>22</v>
      </c>
    </row>
    <row r="730" spans="1:2" x14ac:dyDescent="0.3">
      <c r="A730" t="str">
        <f>"213-0287"</f>
        <v>213-0287</v>
      </c>
      <c r="B730" t="s">
        <v>22</v>
      </c>
    </row>
    <row r="731" spans="1:2" x14ac:dyDescent="0.3">
      <c r="A731" t="str">
        <f>"213-0459"</f>
        <v>213-0459</v>
      </c>
      <c r="B731" t="s">
        <v>22</v>
      </c>
    </row>
    <row r="732" spans="1:2" x14ac:dyDescent="0.3">
      <c r="A732" t="str">
        <f>"2-132C557-70"</f>
        <v>2-132C557-70</v>
      </c>
      <c r="B732" t="s">
        <v>188</v>
      </c>
    </row>
    <row r="733" spans="1:2" x14ac:dyDescent="0.3">
      <c r="A733" t="str">
        <f>"2-135NM506-65"</f>
        <v>2-135NM506-65</v>
      </c>
      <c r="B733" t="s">
        <v>188</v>
      </c>
    </row>
    <row r="734" spans="1:2" x14ac:dyDescent="0.3">
      <c r="A734" t="str">
        <f>"213VZ01"</f>
        <v>213VZ01</v>
      </c>
      <c r="B734" t="s">
        <v>13</v>
      </c>
    </row>
    <row r="735" spans="1:2" x14ac:dyDescent="0.3">
      <c r="A735" t="str">
        <f>"214-00100"</f>
        <v>214-00100</v>
      </c>
      <c r="B735" t="s">
        <v>1701</v>
      </c>
    </row>
    <row r="736" spans="1:2" x14ac:dyDescent="0.3">
      <c r="A736" t="str">
        <f>"214-00200"</f>
        <v>214-00200</v>
      </c>
      <c r="B736" t="s">
        <v>1097</v>
      </c>
    </row>
    <row r="737" spans="1:2" x14ac:dyDescent="0.3">
      <c r="A737" t="str">
        <f>"214-0029"</f>
        <v>214-0029</v>
      </c>
      <c r="B737" t="s">
        <v>22</v>
      </c>
    </row>
    <row r="738" spans="1:2" x14ac:dyDescent="0.3">
      <c r="A738" t="str">
        <f>"214-0041"</f>
        <v>214-0041</v>
      </c>
      <c r="B738" t="s">
        <v>3987</v>
      </c>
    </row>
    <row r="739" spans="1:2" x14ac:dyDescent="0.3">
      <c r="A739" t="str">
        <f>"214-0118"</f>
        <v>214-0118</v>
      </c>
      <c r="B739" t="s">
        <v>2392</v>
      </c>
    </row>
    <row r="740" spans="1:2" x14ac:dyDescent="0.3">
      <c r="A740" t="str">
        <f>"2-1474-7"</f>
        <v>2-1474-7</v>
      </c>
      <c r="B740" t="s">
        <v>1901</v>
      </c>
    </row>
    <row r="741" spans="1:2" x14ac:dyDescent="0.3">
      <c r="A741" t="str">
        <f>"214J01NRJ1026"</f>
        <v>214J01NRJ1026</v>
      </c>
      <c r="B741" t="s">
        <v>11</v>
      </c>
    </row>
    <row r="742" spans="1:2" x14ac:dyDescent="0.3">
      <c r="A742" t="str">
        <f>"214J01NVV1207"</f>
        <v>214J01NVV1207</v>
      </c>
      <c r="B742" t="s">
        <v>11</v>
      </c>
    </row>
    <row r="743" spans="1:2" x14ac:dyDescent="0.3">
      <c r="A743" t="str">
        <f>"2-14SC1"</f>
        <v>2-14SC1</v>
      </c>
      <c r="B743" t="s">
        <v>1364</v>
      </c>
    </row>
    <row r="744" spans="1:2" x14ac:dyDescent="0.3">
      <c r="A744" t="str">
        <f>"215082-3"</f>
        <v>215082-3</v>
      </c>
      <c r="B744" t="s">
        <v>3293</v>
      </c>
    </row>
    <row r="745" spans="1:2" x14ac:dyDescent="0.3">
      <c r="A745" t="str">
        <f>"215MR-952-T"</f>
        <v>215MR-952-T</v>
      </c>
      <c r="B745" t="s">
        <v>150</v>
      </c>
    </row>
    <row r="746" spans="1:2" x14ac:dyDescent="0.3">
      <c r="A746" t="str">
        <f>"216002-10"</f>
        <v>216002-10</v>
      </c>
      <c r="B746" t="s">
        <v>184</v>
      </c>
    </row>
    <row r="747" spans="1:2" x14ac:dyDescent="0.3">
      <c r="A747" t="str">
        <f>"216002-9"</f>
        <v>216002-9</v>
      </c>
      <c r="B747" t="s">
        <v>184</v>
      </c>
    </row>
    <row r="748" spans="1:2" x14ac:dyDescent="0.3">
      <c r="A748" t="str">
        <f>"2-161N506-65"</f>
        <v>2-161N506-65</v>
      </c>
      <c r="B748" t="s">
        <v>173</v>
      </c>
    </row>
    <row r="749" spans="1:2" x14ac:dyDescent="0.3">
      <c r="A749" t="str">
        <f>"2-161NM506-65"</f>
        <v>2-161NM506-65</v>
      </c>
      <c r="B749" t="s">
        <v>173</v>
      </c>
    </row>
    <row r="750" spans="1:2" x14ac:dyDescent="0.3">
      <c r="A750" t="str">
        <f>"2-16SC1"</f>
        <v>2-16SC1</v>
      </c>
      <c r="B750" t="s">
        <v>1364</v>
      </c>
    </row>
    <row r="751" spans="1:2" x14ac:dyDescent="0.3">
      <c r="A751" t="str">
        <f>"217-00100"</f>
        <v>217-00100</v>
      </c>
      <c r="B751" t="s">
        <v>1170</v>
      </c>
    </row>
    <row r="752" spans="1:2" x14ac:dyDescent="0.3">
      <c r="A752" t="str">
        <f>"21C1-3-21"</f>
        <v>21C1-3-21</v>
      </c>
      <c r="B752" t="s">
        <v>1167</v>
      </c>
    </row>
    <row r="753" spans="1:2" x14ac:dyDescent="0.3">
      <c r="A753" t="str">
        <f>"21D10-2"</f>
        <v>21D10-2</v>
      </c>
      <c r="B753" t="s">
        <v>1113</v>
      </c>
    </row>
    <row r="754" spans="1:2" x14ac:dyDescent="0.3">
      <c r="A754" t="str">
        <f>"21FA104"</f>
        <v>21FA104</v>
      </c>
      <c r="B754" t="s">
        <v>635</v>
      </c>
    </row>
    <row r="755" spans="1:2" x14ac:dyDescent="0.3">
      <c r="A755" t="str">
        <f>"21SX39-T"</f>
        <v>21SX39-T</v>
      </c>
      <c r="B755" t="s">
        <v>13</v>
      </c>
    </row>
    <row r="756" spans="1:2" x14ac:dyDescent="0.3">
      <c r="A756" t="str">
        <f>"21SX39-T2"</f>
        <v>21SX39-T2</v>
      </c>
      <c r="B756" t="s">
        <v>13</v>
      </c>
    </row>
    <row r="757" spans="1:2" x14ac:dyDescent="0.3">
      <c r="A757" t="str">
        <f>"2200048"</f>
        <v>2200048</v>
      </c>
      <c r="B757" t="s">
        <v>2651</v>
      </c>
    </row>
    <row r="758" spans="1:2" x14ac:dyDescent="0.3">
      <c r="A758" t="str">
        <f>"2200078"</f>
        <v>2200078</v>
      </c>
      <c r="B758" t="s">
        <v>2647</v>
      </c>
    </row>
    <row r="759" spans="1:2" x14ac:dyDescent="0.3">
      <c r="A759" t="str">
        <f>"2200086"</f>
        <v>2200086</v>
      </c>
      <c r="B759" t="s">
        <v>2653</v>
      </c>
    </row>
    <row r="760" spans="1:2" x14ac:dyDescent="0.3">
      <c r="A760" t="str">
        <f>"2200108"</f>
        <v>2200108</v>
      </c>
      <c r="B760" t="s">
        <v>2646</v>
      </c>
    </row>
    <row r="761" spans="1:2" x14ac:dyDescent="0.3">
      <c r="A761" t="str">
        <f>"2200109"</f>
        <v>2200109</v>
      </c>
      <c r="B761" t="s">
        <v>2650</v>
      </c>
    </row>
    <row r="762" spans="1:2" x14ac:dyDescent="0.3">
      <c r="A762" t="str">
        <f>"2200400"</f>
        <v>2200400</v>
      </c>
      <c r="B762" t="s">
        <v>2652</v>
      </c>
    </row>
    <row r="763" spans="1:2" x14ac:dyDescent="0.3">
      <c r="A763" t="str">
        <f>"22152-01"</f>
        <v>22152-01</v>
      </c>
      <c r="B763" t="s">
        <v>4401</v>
      </c>
    </row>
    <row r="764" spans="1:2" x14ac:dyDescent="0.3">
      <c r="A764" t="str">
        <f>"22152-02"</f>
        <v>22152-02</v>
      </c>
      <c r="B764" t="s">
        <v>151</v>
      </c>
    </row>
    <row r="765" spans="1:2" x14ac:dyDescent="0.3">
      <c r="A765" t="str">
        <f>"2-230S604-70"</f>
        <v>2-230S604-70</v>
      </c>
      <c r="B765" t="s">
        <v>132</v>
      </c>
    </row>
    <row r="766" spans="1:2" x14ac:dyDescent="0.3">
      <c r="A766" t="str">
        <f>"2233"</f>
        <v>2233</v>
      </c>
      <c r="B766" t="s">
        <v>623</v>
      </c>
    </row>
    <row r="767" spans="1:2" x14ac:dyDescent="0.3">
      <c r="A767" t="str">
        <f>"2233 (GE)"</f>
        <v>2233 (GE)</v>
      </c>
      <c r="B767" t="s">
        <v>623</v>
      </c>
    </row>
    <row r="768" spans="1:2" x14ac:dyDescent="0.3">
      <c r="A768" t="str">
        <f>"2233000-816-1"</f>
        <v>2233000-816-1</v>
      </c>
      <c r="B768" t="s">
        <v>2086</v>
      </c>
    </row>
    <row r="769" spans="1:2" x14ac:dyDescent="0.3">
      <c r="A769" t="str">
        <f>"2-234S604-70"</f>
        <v>2-234S604-70</v>
      </c>
      <c r="B769" t="s">
        <v>132</v>
      </c>
    </row>
    <row r="770" spans="1:2" x14ac:dyDescent="0.3">
      <c r="A770" t="str">
        <f>"224888-2"</f>
        <v>224888-2</v>
      </c>
      <c r="B770" t="s">
        <v>132</v>
      </c>
    </row>
    <row r="771" spans="1:2" x14ac:dyDescent="0.3">
      <c r="A771" t="str">
        <f>"224888-3"</f>
        <v>224888-3</v>
      </c>
      <c r="B771" t="s">
        <v>3512</v>
      </c>
    </row>
    <row r="772" spans="1:2" x14ac:dyDescent="0.3">
      <c r="A772" t="str">
        <f>"224J01NVVV1204"</f>
        <v>224J01NVVV1204</v>
      </c>
      <c r="B772" t="s">
        <v>788</v>
      </c>
    </row>
    <row r="773" spans="1:2" x14ac:dyDescent="0.3">
      <c r="A773" t="str">
        <f>"225791-1"</f>
        <v>225791-1</v>
      </c>
      <c r="B773" t="s">
        <v>20</v>
      </c>
    </row>
    <row r="774" spans="1:2" x14ac:dyDescent="0.3">
      <c r="A774" t="str">
        <f>"226590"</f>
        <v>226590</v>
      </c>
      <c r="B774" t="s">
        <v>132</v>
      </c>
    </row>
    <row r="775" spans="1:2" x14ac:dyDescent="0.3">
      <c r="A775" t="str">
        <f>"2-267S317-60"</f>
        <v>2-267S317-60</v>
      </c>
    </row>
    <row r="776" spans="1:2" x14ac:dyDescent="0.3">
      <c r="A776" t="str">
        <f>"229-005"</f>
        <v>229-005</v>
      </c>
    </row>
    <row r="777" spans="1:2" x14ac:dyDescent="0.3">
      <c r="A777" t="str">
        <f>"22FH524"</f>
        <v>22FH524</v>
      </c>
      <c r="B777" t="s">
        <v>246</v>
      </c>
    </row>
    <row r="778" spans="1:2" x14ac:dyDescent="0.3">
      <c r="A778" t="str">
        <f>"22NKM-02"</f>
        <v>22NKM-02</v>
      </c>
      <c r="B778" t="s">
        <v>246</v>
      </c>
    </row>
    <row r="779" spans="1:2" x14ac:dyDescent="0.3">
      <c r="A779" t="str">
        <f>"2300-01-1"</f>
        <v>2300-01-1</v>
      </c>
      <c r="B779" t="s">
        <v>1537</v>
      </c>
    </row>
    <row r="780" spans="1:2" x14ac:dyDescent="0.3">
      <c r="A780" t="str">
        <f>"230-0055"</f>
        <v>230-0055</v>
      </c>
      <c r="B780" t="s">
        <v>2237</v>
      </c>
    </row>
    <row r="781" spans="1:2" x14ac:dyDescent="0.3">
      <c r="A781" t="str">
        <f>"23048-004M"</f>
        <v>23048-004M</v>
      </c>
      <c r="B781" t="s">
        <v>276</v>
      </c>
    </row>
    <row r="782" spans="1:2" x14ac:dyDescent="0.3">
      <c r="A782" t="str">
        <f>"23064633"</f>
        <v>23064633</v>
      </c>
      <c r="B782" t="s">
        <v>188</v>
      </c>
    </row>
    <row r="783" spans="1:2" x14ac:dyDescent="0.3">
      <c r="A783" t="str">
        <f>"2307-04-3"</f>
        <v>2307-04-3</v>
      </c>
      <c r="B783" t="s">
        <v>264</v>
      </c>
    </row>
    <row r="784" spans="1:2" x14ac:dyDescent="0.3">
      <c r="A784" t="str">
        <f>"23085-001"</f>
        <v>23085-001</v>
      </c>
      <c r="B784" t="s">
        <v>1216</v>
      </c>
    </row>
    <row r="785" spans="1:2" x14ac:dyDescent="0.3">
      <c r="A785" t="str">
        <f>"2313"</f>
        <v>2313</v>
      </c>
      <c r="B785" t="s">
        <v>2079</v>
      </c>
    </row>
    <row r="786" spans="1:2" x14ac:dyDescent="0.3">
      <c r="A786" t="str">
        <f>"2314M72-1"</f>
        <v>2314M72-1</v>
      </c>
      <c r="B786" t="s">
        <v>2514</v>
      </c>
    </row>
    <row r="787" spans="1:2" x14ac:dyDescent="0.3">
      <c r="A787" t="str">
        <f>"2315M20-3"</f>
        <v>2315M20-3</v>
      </c>
      <c r="B787" t="s">
        <v>3653</v>
      </c>
    </row>
    <row r="788" spans="1:2" x14ac:dyDescent="0.3">
      <c r="A788" t="str">
        <f>"232-1012"</f>
        <v>232-1012</v>
      </c>
      <c r="B788" t="s">
        <v>501</v>
      </c>
    </row>
    <row r="789" spans="1:2" x14ac:dyDescent="0.3">
      <c r="A789" t="str">
        <f>"232-1034"</f>
        <v>232-1034</v>
      </c>
      <c r="B789" t="s">
        <v>500</v>
      </c>
    </row>
    <row r="790" spans="1:2" x14ac:dyDescent="0.3">
      <c r="A790" t="str">
        <f>"232-1056"</f>
        <v>232-1056</v>
      </c>
      <c r="B790" t="s">
        <v>499</v>
      </c>
    </row>
    <row r="791" spans="1:2" x14ac:dyDescent="0.3">
      <c r="A791" t="str">
        <f>"232A1504-28"</f>
        <v>232A1504-28</v>
      </c>
      <c r="B791" t="s">
        <v>1687</v>
      </c>
    </row>
    <row r="792" spans="1:2" x14ac:dyDescent="0.3">
      <c r="A792" t="str">
        <f>"23300924"</f>
        <v>23300924</v>
      </c>
      <c r="B792" t="s">
        <v>22</v>
      </c>
    </row>
    <row r="793" spans="1:2" x14ac:dyDescent="0.3">
      <c r="A793" t="str">
        <f>"233-10010-01"</f>
        <v>233-10010-01</v>
      </c>
      <c r="B793" t="s">
        <v>1319</v>
      </c>
    </row>
    <row r="794" spans="1:2" x14ac:dyDescent="0.3">
      <c r="A794" t="str">
        <f>"2341"</f>
        <v>2341</v>
      </c>
      <c r="B794" t="s">
        <v>2308</v>
      </c>
    </row>
    <row r="795" spans="1:2" x14ac:dyDescent="0.3">
      <c r="A795" t="str">
        <f>"234505"</f>
        <v>234505</v>
      </c>
      <c r="B795" t="s">
        <v>3007</v>
      </c>
    </row>
    <row r="796" spans="1:2" x14ac:dyDescent="0.3">
      <c r="A796" t="str">
        <f>"237060-57"</f>
        <v>237060-57</v>
      </c>
      <c r="B796" t="s">
        <v>13</v>
      </c>
    </row>
    <row r="797" spans="1:2" x14ac:dyDescent="0.3">
      <c r="A797" t="str">
        <f>"237241"</f>
        <v>237241</v>
      </c>
      <c r="B797" t="s">
        <v>3104</v>
      </c>
    </row>
    <row r="798" spans="1:2" x14ac:dyDescent="0.3">
      <c r="A798" t="str">
        <f>"238-0252-505"</f>
        <v>238-0252-505</v>
      </c>
      <c r="B798" t="s">
        <v>184</v>
      </c>
    </row>
    <row r="799" spans="1:2" x14ac:dyDescent="0.3">
      <c r="A799" t="str">
        <f>"238-0701-525"</f>
        <v>238-0701-525</v>
      </c>
      <c r="B799" t="s">
        <v>3752</v>
      </c>
    </row>
    <row r="800" spans="1:2" x14ac:dyDescent="0.3">
      <c r="A800" t="str">
        <f>"239004-19"</f>
        <v>239004-19</v>
      </c>
      <c r="B800" t="s">
        <v>128</v>
      </c>
    </row>
    <row r="801" spans="1:2" x14ac:dyDescent="0.3">
      <c r="A801" t="str">
        <f>"239492"</f>
        <v>239492</v>
      </c>
      <c r="B801" t="s">
        <v>336</v>
      </c>
    </row>
    <row r="802" spans="1:2" x14ac:dyDescent="0.3">
      <c r="A802" t="str">
        <f>"240-0027"</f>
        <v>240-0027</v>
      </c>
      <c r="B802" t="s">
        <v>470</v>
      </c>
    </row>
    <row r="803" spans="1:2" x14ac:dyDescent="0.3">
      <c r="A803" t="str">
        <f>"240-0028"</f>
        <v>240-0028</v>
      </c>
      <c r="B803" t="s">
        <v>470</v>
      </c>
    </row>
    <row r="804" spans="1:2" x14ac:dyDescent="0.3">
      <c r="A804" t="str">
        <f>"240-0032"</f>
        <v>240-0032</v>
      </c>
      <c r="B804" t="s">
        <v>1219</v>
      </c>
    </row>
    <row r="805" spans="1:2" x14ac:dyDescent="0.3">
      <c r="A805" t="str">
        <f>"240-0036"</f>
        <v>240-0036</v>
      </c>
      <c r="B805" t="s">
        <v>1264</v>
      </c>
    </row>
    <row r="806" spans="1:2" x14ac:dyDescent="0.3">
      <c r="A806" t="str">
        <f>"240-0037"</f>
        <v>240-0037</v>
      </c>
      <c r="B806" t="s">
        <v>470</v>
      </c>
    </row>
    <row r="807" spans="1:2" x14ac:dyDescent="0.3">
      <c r="A807" t="str">
        <f>"240-0038"</f>
        <v>240-0038</v>
      </c>
      <c r="B807" t="s">
        <v>470</v>
      </c>
    </row>
    <row r="808" spans="1:2" x14ac:dyDescent="0.3">
      <c r="A808" t="str">
        <f>"240-0039"</f>
        <v>240-0039</v>
      </c>
      <c r="B808" t="s">
        <v>470</v>
      </c>
    </row>
    <row r="809" spans="1:2" x14ac:dyDescent="0.3">
      <c r="A809" t="str">
        <f>"240-0040"</f>
        <v>240-0040</v>
      </c>
      <c r="B809" t="s">
        <v>470</v>
      </c>
    </row>
    <row r="810" spans="1:2" x14ac:dyDescent="0.3">
      <c r="A810" t="str">
        <f>"240-0043"</f>
        <v>240-0043</v>
      </c>
      <c r="B810" t="s">
        <v>756</v>
      </c>
    </row>
    <row r="811" spans="1:2" x14ac:dyDescent="0.3">
      <c r="A811" t="str">
        <f>"240-0053"</f>
        <v>240-0053</v>
      </c>
      <c r="B811" t="s">
        <v>470</v>
      </c>
    </row>
    <row r="812" spans="1:2" x14ac:dyDescent="0.3">
      <c r="A812" t="str">
        <f>"2400-233-044"</f>
        <v>2400-233-044</v>
      </c>
      <c r="B812" t="s">
        <v>3053</v>
      </c>
    </row>
    <row r="813" spans="1:2" x14ac:dyDescent="0.3">
      <c r="A813" t="str">
        <f>"2400-347-044"</f>
        <v>2400-347-044</v>
      </c>
      <c r="B813" t="s">
        <v>3053</v>
      </c>
    </row>
    <row r="814" spans="1:2" x14ac:dyDescent="0.3">
      <c r="A814" t="str">
        <f>"24098-250"</f>
        <v>24098-250</v>
      </c>
      <c r="B814" t="s">
        <v>184</v>
      </c>
    </row>
    <row r="815" spans="1:2" x14ac:dyDescent="0.3">
      <c r="A815" t="str">
        <f>"24098-300"</f>
        <v>24098-300</v>
      </c>
      <c r="B815" t="s">
        <v>1941</v>
      </c>
    </row>
    <row r="816" spans="1:2" x14ac:dyDescent="0.3">
      <c r="A816" t="str">
        <f>"24-10-90080"</f>
        <v>24-10-90080</v>
      </c>
      <c r="B816" t="s">
        <v>4031</v>
      </c>
    </row>
    <row r="817" spans="1:2" x14ac:dyDescent="0.3">
      <c r="A817" t="str">
        <f>"24-10-90102"</f>
        <v>24-10-90102</v>
      </c>
      <c r="B817" t="s">
        <v>2663</v>
      </c>
    </row>
    <row r="818" spans="1:2" x14ac:dyDescent="0.3">
      <c r="A818" t="str">
        <f>"24-10-90106"</f>
        <v>24-10-90106</v>
      </c>
      <c r="B818" t="s">
        <v>4031</v>
      </c>
    </row>
    <row r="819" spans="1:2" x14ac:dyDescent="0.3">
      <c r="A819" t="str">
        <f>"242057-3"</f>
        <v>242057-3</v>
      </c>
      <c r="B819" t="s">
        <v>4067</v>
      </c>
    </row>
    <row r="820" spans="1:2" x14ac:dyDescent="0.3">
      <c r="A820" t="str">
        <f>"244-16G"</f>
        <v>244-16G</v>
      </c>
      <c r="B820" t="s">
        <v>477</v>
      </c>
    </row>
    <row r="821" spans="1:2" x14ac:dyDescent="0.3">
      <c r="A821" t="str">
        <f>"245-0033"</f>
        <v>245-0033</v>
      </c>
      <c r="B821" t="s">
        <v>555</v>
      </c>
    </row>
    <row r="822" spans="1:2" x14ac:dyDescent="0.3">
      <c r="A822" t="str">
        <f>"245-0037"</f>
        <v>245-0037</v>
      </c>
      <c r="B822" t="s">
        <v>405</v>
      </c>
    </row>
    <row r="823" spans="1:2" x14ac:dyDescent="0.3">
      <c r="A823" t="str">
        <f>"245-0113"</f>
        <v>245-0113</v>
      </c>
      <c r="B823" t="s">
        <v>2893</v>
      </c>
    </row>
    <row r="824" spans="1:2" x14ac:dyDescent="0.3">
      <c r="A824" t="str">
        <f>"24540-200"</f>
        <v>24540-200</v>
      </c>
      <c r="B824" t="s">
        <v>539</v>
      </c>
    </row>
    <row r="825" spans="1:2" x14ac:dyDescent="0.3">
      <c r="A825" t="str">
        <f>"24548"</f>
        <v>24548</v>
      </c>
      <c r="B825" t="s">
        <v>1077</v>
      </c>
    </row>
    <row r="826" spans="1:2" x14ac:dyDescent="0.3">
      <c r="A826" t="str">
        <f>"246-0010"</f>
        <v>246-0010</v>
      </c>
      <c r="B826" t="s">
        <v>144</v>
      </c>
    </row>
    <row r="827" spans="1:2" x14ac:dyDescent="0.3">
      <c r="A827" t="str">
        <f>"247-0016"</f>
        <v>247-0016</v>
      </c>
      <c r="B827" t="s">
        <v>11</v>
      </c>
    </row>
    <row r="828" spans="1:2" x14ac:dyDescent="0.3">
      <c r="A828" t="str">
        <f>"247-0043"</f>
        <v>247-0043</v>
      </c>
      <c r="B828" t="s">
        <v>11</v>
      </c>
    </row>
    <row r="829" spans="1:2" x14ac:dyDescent="0.3">
      <c r="A829" t="str">
        <f>"247-0051"</f>
        <v>247-0051</v>
      </c>
      <c r="B829" t="s">
        <v>11</v>
      </c>
    </row>
    <row r="830" spans="1:2" x14ac:dyDescent="0.3">
      <c r="A830" t="str">
        <f>"247-0060"</f>
        <v>247-0060</v>
      </c>
      <c r="B830" t="s">
        <v>11</v>
      </c>
    </row>
    <row r="831" spans="1:2" x14ac:dyDescent="0.3">
      <c r="A831" t="str">
        <f>"247-0061"</f>
        <v>247-0061</v>
      </c>
      <c r="B831" t="s">
        <v>11</v>
      </c>
    </row>
    <row r="832" spans="1:2" x14ac:dyDescent="0.3">
      <c r="A832" t="str">
        <f>"247-0072"</f>
        <v>247-0072</v>
      </c>
      <c r="B832" t="s">
        <v>11</v>
      </c>
    </row>
    <row r="833" spans="1:2" x14ac:dyDescent="0.3">
      <c r="A833" t="str">
        <f>"247-0082"</f>
        <v>247-0082</v>
      </c>
      <c r="B833" t="s">
        <v>11</v>
      </c>
    </row>
    <row r="834" spans="1:2" x14ac:dyDescent="0.3">
      <c r="A834" t="str">
        <f>"247-0115"</f>
        <v>247-0115</v>
      </c>
      <c r="B834" t="s">
        <v>11</v>
      </c>
    </row>
    <row r="835" spans="1:2" x14ac:dyDescent="0.3">
      <c r="A835" t="str">
        <f>"248-0226"</f>
        <v>248-0226</v>
      </c>
      <c r="B835" t="s">
        <v>1265</v>
      </c>
    </row>
    <row r="836" spans="1:2" x14ac:dyDescent="0.3">
      <c r="A836" t="str">
        <f>"248-0253"</f>
        <v>248-0253</v>
      </c>
      <c r="B836" t="s">
        <v>1155</v>
      </c>
    </row>
    <row r="837" spans="1:2" x14ac:dyDescent="0.3">
      <c r="A837" t="str">
        <f>"248-0369"</f>
        <v>248-0369</v>
      </c>
      <c r="B837" t="s">
        <v>439</v>
      </c>
    </row>
    <row r="838" spans="1:2" x14ac:dyDescent="0.3">
      <c r="A838" t="str">
        <f>"248-0548"</f>
        <v>248-0548</v>
      </c>
      <c r="B838" t="s">
        <v>635</v>
      </c>
    </row>
    <row r="839" spans="1:2" x14ac:dyDescent="0.3">
      <c r="A839" t="str">
        <f>"248-0552"</f>
        <v>248-0552</v>
      </c>
      <c r="B839" t="s">
        <v>129</v>
      </c>
    </row>
    <row r="840" spans="1:2" x14ac:dyDescent="0.3">
      <c r="A840" t="str">
        <f>"248-0560"</f>
        <v>248-0560</v>
      </c>
      <c r="B840" t="s">
        <v>1963</v>
      </c>
    </row>
    <row r="841" spans="1:2" x14ac:dyDescent="0.3">
      <c r="A841" t="str">
        <f>"248514-3"</f>
        <v>248514-3</v>
      </c>
      <c r="B841" t="s">
        <v>353</v>
      </c>
    </row>
    <row r="842" spans="1:2" x14ac:dyDescent="0.3">
      <c r="A842" t="str">
        <f>"24870"</f>
        <v>24870</v>
      </c>
      <c r="B842" t="s">
        <v>119</v>
      </c>
    </row>
    <row r="843" spans="1:2" x14ac:dyDescent="0.3">
      <c r="A843" t="str">
        <f>"24RB"</f>
        <v>24RB</v>
      </c>
      <c r="B843" t="s">
        <v>11</v>
      </c>
    </row>
    <row r="844" spans="1:2" x14ac:dyDescent="0.3">
      <c r="A844" t="str">
        <f>"250SG1052-9"</f>
        <v>250SG1052-9</v>
      </c>
      <c r="B844" t="s">
        <v>119</v>
      </c>
    </row>
    <row r="845" spans="1:2" x14ac:dyDescent="0.3">
      <c r="A845" t="str">
        <f>"25-146"</f>
        <v>25-146</v>
      </c>
      <c r="B845" t="s">
        <v>151</v>
      </c>
    </row>
    <row r="846" spans="1:2" x14ac:dyDescent="0.3">
      <c r="A846" t="str">
        <f>"25-1734-15"</f>
        <v>25-1734-15</v>
      </c>
      <c r="B846" t="s">
        <v>489</v>
      </c>
    </row>
    <row r="847" spans="1:2" x14ac:dyDescent="0.3">
      <c r="A847" t="str">
        <f>"25-1736-1"</f>
        <v>25-1736-1</v>
      </c>
      <c r="B847" t="s">
        <v>489</v>
      </c>
    </row>
    <row r="848" spans="1:2" x14ac:dyDescent="0.3">
      <c r="A848" t="str">
        <f>"25-1835-23"</f>
        <v>25-1835-23</v>
      </c>
      <c r="B848" t="s">
        <v>4021</v>
      </c>
    </row>
    <row r="849" spans="1:2" x14ac:dyDescent="0.3">
      <c r="A849" t="str">
        <f>"25-1881-122"</f>
        <v>25-1881-122</v>
      </c>
      <c r="B849" t="s">
        <v>489</v>
      </c>
    </row>
    <row r="850" spans="1:2" x14ac:dyDescent="0.3">
      <c r="A850" t="str">
        <f>"25-1881-21"</f>
        <v>25-1881-21</v>
      </c>
      <c r="B850" t="s">
        <v>489</v>
      </c>
    </row>
    <row r="851" spans="1:2" x14ac:dyDescent="0.3">
      <c r="A851" t="str">
        <f>"251A4807-1"</f>
        <v>251A4807-1</v>
      </c>
      <c r="B851" t="s">
        <v>956</v>
      </c>
    </row>
    <row r="852" spans="1:2" x14ac:dyDescent="0.3">
      <c r="A852" t="str">
        <f>"251N1241-7"</f>
        <v>251N1241-7</v>
      </c>
      <c r="B852" t="s">
        <v>4470</v>
      </c>
    </row>
    <row r="853" spans="1:2" x14ac:dyDescent="0.3">
      <c r="A853" t="str">
        <f>"2520EX103K1"</f>
        <v>2520EX103K1</v>
      </c>
      <c r="B853" t="s">
        <v>133</v>
      </c>
    </row>
    <row r="854" spans="1:2" x14ac:dyDescent="0.3">
      <c r="A854" t="str">
        <f>"25236-1"</f>
        <v>25236-1</v>
      </c>
      <c r="B854" t="s">
        <v>1978</v>
      </c>
    </row>
    <row r="855" spans="1:2" x14ac:dyDescent="0.3">
      <c r="A855" t="str">
        <f>"2524864-2"</f>
        <v>2524864-2</v>
      </c>
      <c r="B855" t="s">
        <v>1763</v>
      </c>
    </row>
    <row r="856" spans="1:2" x14ac:dyDescent="0.3">
      <c r="A856" t="str">
        <f>"2525494"</f>
        <v>2525494</v>
      </c>
      <c r="B856" t="s">
        <v>151</v>
      </c>
    </row>
    <row r="857" spans="1:2" x14ac:dyDescent="0.3">
      <c r="A857" t="str">
        <f>"2539738"</f>
        <v>2539738</v>
      </c>
      <c r="B857" t="s">
        <v>366</v>
      </c>
    </row>
    <row r="858" spans="1:2" x14ac:dyDescent="0.3">
      <c r="A858" t="str">
        <f>"255003"</f>
        <v>255003</v>
      </c>
      <c r="B858" t="s">
        <v>264</v>
      </c>
    </row>
    <row r="859" spans="1:2" x14ac:dyDescent="0.3">
      <c r="A859" t="str">
        <f>"256A3183-12"</f>
        <v>256A3183-12</v>
      </c>
      <c r="B859" t="s">
        <v>3749</v>
      </c>
    </row>
    <row r="860" spans="1:2" x14ac:dyDescent="0.3">
      <c r="A860" t="str">
        <f>"2576568-1"</f>
        <v>2576568-1</v>
      </c>
      <c r="B860" t="s">
        <v>1215</v>
      </c>
    </row>
    <row r="861" spans="1:2" x14ac:dyDescent="0.3">
      <c r="A861" t="str">
        <f>"2606799-011"</f>
        <v>2606799-011</v>
      </c>
      <c r="B861" t="s">
        <v>2608</v>
      </c>
    </row>
    <row r="862" spans="1:2" x14ac:dyDescent="0.3">
      <c r="A862" t="str">
        <f>"2607027-011"</f>
        <v>2607027-011</v>
      </c>
      <c r="B862" t="s">
        <v>188</v>
      </c>
    </row>
    <row r="863" spans="1:2" x14ac:dyDescent="0.3">
      <c r="A863" t="str">
        <f>"2607027-225"</f>
        <v>2607027-225</v>
      </c>
      <c r="B863" t="s">
        <v>2461</v>
      </c>
    </row>
    <row r="864" spans="1:2" x14ac:dyDescent="0.3">
      <c r="A864" t="str">
        <f>"2607027-229"</f>
        <v>2607027-229</v>
      </c>
      <c r="B864" t="s">
        <v>2461</v>
      </c>
    </row>
    <row r="865" spans="1:2" x14ac:dyDescent="0.3">
      <c r="A865" t="str">
        <f>"2607542"</f>
        <v>2607542</v>
      </c>
      <c r="B865" t="s">
        <v>3992</v>
      </c>
    </row>
    <row r="866" spans="1:2" x14ac:dyDescent="0.3">
      <c r="A866" t="str">
        <f>"2609327"</f>
        <v>2609327</v>
      </c>
      <c r="B866" t="s">
        <v>2739</v>
      </c>
    </row>
    <row r="867" spans="1:2" x14ac:dyDescent="0.3">
      <c r="A867" t="str">
        <f>"2611113"</f>
        <v>2611113</v>
      </c>
      <c r="B867" t="s">
        <v>4610</v>
      </c>
    </row>
    <row r="868" spans="1:2" x14ac:dyDescent="0.3">
      <c r="A868" t="str">
        <f>"26117-001"</f>
        <v>26117-001</v>
      </c>
      <c r="B868" t="s">
        <v>948</v>
      </c>
    </row>
    <row r="869" spans="1:2" x14ac:dyDescent="0.3">
      <c r="A869" t="str">
        <f>"26124-001"</f>
        <v>26124-001</v>
      </c>
    </row>
    <row r="870" spans="1:2" x14ac:dyDescent="0.3">
      <c r="A870" t="str">
        <f>"2612784"</f>
        <v>2612784</v>
      </c>
      <c r="B870" t="s">
        <v>2978</v>
      </c>
    </row>
    <row r="871" spans="1:2" x14ac:dyDescent="0.3">
      <c r="A871" t="str">
        <f>"2613109"</f>
        <v>2613109</v>
      </c>
      <c r="B871" t="s">
        <v>4127</v>
      </c>
    </row>
    <row r="872" spans="1:2" x14ac:dyDescent="0.3">
      <c r="A872" t="str">
        <f>"26138-001"</f>
        <v>26138-001</v>
      </c>
      <c r="B872" t="s">
        <v>635</v>
      </c>
    </row>
    <row r="873" spans="1:2" x14ac:dyDescent="0.3">
      <c r="A873" t="str">
        <f>"262-0136-010"</f>
        <v>262-0136-010</v>
      </c>
      <c r="B873" t="s">
        <v>11</v>
      </c>
    </row>
    <row r="874" spans="1:2" x14ac:dyDescent="0.3">
      <c r="A874" t="str">
        <f>"262-1296-840"</f>
        <v>262-1296-840</v>
      </c>
      <c r="B874" t="s">
        <v>11</v>
      </c>
    </row>
    <row r="875" spans="1:2" x14ac:dyDescent="0.3">
      <c r="A875" t="str">
        <f>"262-1296-850"</f>
        <v>262-1296-850</v>
      </c>
      <c r="B875" t="s">
        <v>11</v>
      </c>
    </row>
    <row r="876" spans="1:2" x14ac:dyDescent="0.3">
      <c r="A876" t="str">
        <f>"262-1296-860"</f>
        <v>262-1296-860</v>
      </c>
      <c r="B876" t="s">
        <v>11</v>
      </c>
    </row>
    <row r="877" spans="1:2" x14ac:dyDescent="0.3">
      <c r="A877" t="str">
        <f>"262-1296-870"</f>
        <v>262-1296-870</v>
      </c>
      <c r="B877" t="s">
        <v>11</v>
      </c>
    </row>
    <row r="878" spans="1:2" x14ac:dyDescent="0.3">
      <c r="A878" t="str">
        <f>"262-1500-010"</f>
        <v>262-1500-010</v>
      </c>
      <c r="B878" t="s">
        <v>11</v>
      </c>
    </row>
    <row r="879" spans="1:2" x14ac:dyDescent="0.3">
      <c r="A879" t="str">
        <f>"262-1500-020"</f>
        <v>262-1500-020</v>
      </c>
      <c r="B879" t="s">
        <v>2794</v>
      </c>
    </row>
    <row r="880" spans="1:2" x14ac:dyDescent="0.3">
      <c r="A880" t="str">
        <f>"262-3501-060"</f>
        <v>262-3501-060</v>
      </c>
      <c r="B880" t="s">
        <v>405</v>
      </c>
    </row>
    <row r="881" spans="1:2" x14ac:dyDescent="0.3">
      <c r="A881" t="str">
        <f>"26405"</f>
        <v>26405</v>
      </c>
      <c r="B881" t="s">
        <v>917</v>
      </c>
    </row>
    <row r="882" spans="1:2" x14ac:dyDescent="0.3">
      <c r="A882" t="str">
        <f>"264-0931-010(1/8A)"</f>
        <v>264-0931-010(1/8A)</v>
      </c>
      <c r="B882" t="s">
        <v>264</v>
      </c>
    </row>
    <row r="883" spans="1:2" x14ac:dyDescent="0.3">
      <c r="A883" t="str">
        <f>"264-0931-090"</f>
        <v>264-0931-090</v>
      </c>
      <c r="B883" t="s">
        <v>264</v>
      </c>
    </row>
    <row r="884" spans="1:2" x14ac:dyDescent="0.3">
      <c r="A884" t="str">
        <f>"264-0964-020(2A)"</f>
        <v>264-0964-020(2A)</v>
      </c>
      <c r="B884" t="s">
        <v>264</v>
      </c>
    </row>
    <row r="885" spans="1:2" x14ac:dyDescent="0.3">
      <c r="A885" t="str">
        <f>"264BS801-2"</f>
        <v>264BS801-2</v>
      </c>
      <c r="B885" t="s">
        <v>1651</v>
      </c>
    </row>
    <row r="886" spans="1:2" x14ac:dyDescent="0.3">
      <c r="A886" t="str">
        <f>"2652559"</f>
        <v>2652559</v>
      </c>
      <c r="B886" t="s">
        <v>1986</v>
      </c>
    </row>
    <row r="887" spans="1:2" x14ac:dyDescent="0.3">
      <c r="A887" t="str">
        <f>"266-0330-160"</f>
        <v>266-0330-160</v>
      </c>
      <c r="B887" t="s">
        <v>13</v>
      </c>
    </row>
    <row r="888" spans="1:2" x14ac:dyDescent="0.3">
      <c r="A888" t="str">
        <f>"266-0430-150"</f>
        <v>266-0430-150</v>
      </c>
      <c r="B888" t="s">
        <v>489</v>
      </c>
    </row>
    <row r="889" spans="1:2" x14ac:dyDescent="0.3">
      <c r="A889" t="str">
        <f>"2668571-4"</f>
        <v>2668571-4</v>
      </c>
      <c r="B889" t="s">
        <v>188</v>
      </c>
    </row>
    <row r="890" spans="1:2" x14ac:dyDescent="0.3">
      <c r="A890" t="str">
        <f>"2668571-6"</f>
        <v>2668571-6</v>
      </c>
      <c r="B890" t="s">
        <v>188</v>
      </c>
    </row>
    <row r="891" spans="1:2" x14ac:dyDescent="0.3">
      <c r="A891" t="str">
        <f>"2668571-8"</f>
        <v>2668571-8</v>
      </c>
      <c r="B891" t="s">
        <v>188</v>
      </c>
    </row>
    <row r="892" spans="1:2" x14ac:dyDescent="0.3">
      <c r="A892" t="str">
        <f>"2670054M2"</f>
        <v>2670054M2</v>
      </c>
      <c r="B892" t="s">
        <v>1234</v>
      </c>
    </row>
    <row r="893" spans="1:2" x14ac:dyDescent="0.3">
      <c r="A893" t="str">
        <f>"2685336"</f>
        <v>2685336</v>
      </c>
      <c r="B893" t="s">
        <v>635</v>
      </c>
    </row>
    <row r="894" spans="1:2" x14ac:dyDescent="0.3">
      <c r="A894" t="str">
        <f>"2687441-001"</f>
        <v>2687441-001</v>
      </c>
      <c r="B894" t="s">
        <v>132</v>
      </c>
    </row>
    <row r="895" spans="1:2" x14ac:dyDescent="0.3">
      <c r="A895" t="str">
        <f>"2691-384021"</f>
        <v>2691-384021</v>
      </c>
      <c r="B895" t="s">
        <v>188</v>
      </c>
    </row>
    <row r="896" spans="1:2" x14ac:dyDescent="0.3">
      <c r="A896" t="str">
        <f>"27-14-90018"</f>
        <v>27-14-90018</v>
      </c>
      <c r="B896" t="s">
        <v>3852</v>
      </c>
    </row>
    <row r="897" spans="1:2" x14ac:dyDescent="0.3">
      <c r="A897" t="str">
        <f>"272002"</f>
        <v>272002</v>
      </c>
      <c r="B897" t="s">
        <v>264</v>
      </c>
    </row>
    <row r="898" spans="1:2" x14ac:dyDescent="0.3">
      <c r="A898" t="str">
        <f>"27201-5"</f>
        <v>27201-5</v>
      </c>
      <c r="B898" t="s">
        <v>264</v>
      </c>
    </row>
    <row r="899" spans="1:2" x14ac:dyDescent="0.3">
      <c r="A899" t="str">
        <f>"27-2613"</f>
        <v>27-2613</v>
      </c>
      <c r="B899" t="s">
        <v>13</v>
      </c>
    </row>
    <row r="900" spans="1:2" x14ac:dyDescent="0.3">
      <c r="A900" t="str">
        <f>"273002"</f>
        <v>273002</v>
      </c>
      <c r="B900" t="s">
        <v>264</v>
      </c>
    </row>
    <row r="901" spans="1:2" x14ac:dyDescent="0.3">
      <c r="A901" t="str">
        <f>"273005"</f>
        <v>273005</v>
      </c>
      <c r="B901" t="s">
        <v>264</v>
      </c>
    </row>
    <row r="902" spans="1:2" x14ac:dyDescent="0.3">
      <c r="A902" t="str">
        <f>"27326-1"</f>
        <v>27326-1</v>
      </c>
      <c r="B902" t="s">
        <v>504</v>
      </c>
    </row>
    <row r="903" spans="1:2" x14ac:dyDescent="0.3">
      <c r="A903" t="str">
        <f>"27340-001"</f>
        <v>27340-001</v>
      </c>
      <c r="B903" t="s">
        <v>226</v>
      </c>
    </row>
    <row r="904" spans="1:2" x14ac:dyDescent="0.3">
      <c r="A904" t="str">
        <f>"27340-002"</f>
        <v>27340-002</v>
      </c>
      <c r="B904" t="s">
        <v>227</v>
      </c>
    </row>
    <row r="905" spans="1:2" x14ac:dyDescent="0.3">
      <c r="A905" t="str">
        <f>"27340-003"</f>
        <v>27340-003</v>
      </c>
      <c r="B905" t="s">
        <v>228</v>
      </c>
    </row>
    <row r="906" spans="1:2" x14ac:dyDescent="0.3">
      <c r="A906" t="str">
        <f>"27340-004"</f>
        <v>27340-004</v>
      </c>
      <c r="B906" t="s">
        <v>229</v>
      </c>
    </row>
    <row r="907" spans="1:2" x14ac:dyDescent="0.3">
      <c r="A907" t="str">
        <f>"27340-005"</f>
        <v>27340-005</v>
      </c>
      <c r="B907" t="s">
        <v>230</v>
      </c>
    </row>
    <row r="908" spans="1:2" x14ac:dyDescent="0.3">
      <c r="A908" t="str">
        <f>"27340-006"</f>
        <v>27340-006</v>
      </c>
      <c r="B908" t="s">
        <v>231</v>
      </c>
    </row>
    <row r="909" spans="1:2" x14ac:dyDescent="0.3">
      <c r="A909" t="str">
        <f>"27340-011"</f>
        <v>27340-011</v>
      </c>
      <c r="B909" t="s">
        <v>230</v>
      </c>
    </row>
    <row r="910" spans="1:2" x14ac:dyDescent="0.3">
      <c r="A910" t="str">
        <f>"27340-012"</f>
        <v>27340-012</v>
      </c>
      <c r="B910" t="s">
        <v>232</v>
      </c>
    </row>
    <row r="911" spans="1:2" x14ac:dyDescent="0.3">
      <c r="A911" t="str">
        <f>"27340-013"</f>
        <v>27340-013</v>
      </c>
      <c r="B911" t="s">
        <v>13</v>
      </c>
    </row>
    <row r="912" spans="1:2" x14ac:dyDescent="0.3">
      <c r="A912" t="str">
        <f>"27340-014"</f>
        <v>27340-014</v>
      </c>
      <c r="B912" t="s">
        <v>13</v>
      </c>
    </row>
    <row r="913" spans="1:2" x14ac:dyDescent="0.3">
      <c r="A913" t="str">
        <f>"27340-015"</f>
        <v>27340-015</v>
      </c>
      <c r="B913" t="s">
        <v>13</v>
      </c>
    </row>
    <row r="914" spans="1:2" x14ac:dyDescent="0.3">
      <c r="A914" t="str">
        <f>"27340-016"</f>
        <v>27340-016</v>
      </c>
      <c r="B914" t="s">
        <v>13</v>
      </c>
    </row>
    <row r="915" spans="1:2" x14ac:dyDescent="0.3">
      <c r="A915" t="str">
        <f>"27340-213"</f>
        <v>27340-213</v>
      </c>
      <c r="B915" t="s">
        <v>8</v>
      </c>
    </row>
    <row r="916" spans="1:2" x14ac:dyDescent="0.3">
      <c r="A916" t="str">
        <f>"27340-214"</f>
        <v>27340-214</v>
      </c>
      <c r="B916" t="s">
        <v>8</v>
      </c>
    </row>
    <row r="917" spans="1:2" x14ac:dyDescent="0.3">
      <c r="A917" t="str">
        <f>"27340-215"</f>
        <v>27340-215</v>
      </c>
      <c r="B917" t="s">
        <v>8</v>
      </c>
    </row>
    <row r="918" spans="1:2" x14ac:dyDescent="0.3">
      <c r="A918" t="str">
        <f>"27340-216"</f>
        <v>27340-216</v>
      </c>
      <c r="B918" t="s">
        <v>8</v>
      </c>
    </row>
    <row r="919" spans="1:2" x14ac:dyDescent="0.3">
      <c r="A919" t="str">
        <f>"27340-313"</f>
        <v>27340-313</v>
      </c>
      <c r="B919" t="s">
        <v>9</v>
      </c>
    </row>
    <row r="920" spans="1:2" x14ac:dyDescent="0.3">
      <c r="A920" t="str">
        <f>"27340-314"</f>
        <v>27340-314</v>
      </c>
      <c r="B920" t="s">
        <v>9</v>
      </c>
    </row>
    <row r="921" spans="1:2" x14ac:dyDescent="0.3">
      <c r="A921" t="str">
        <f>"27340-315"</f>
        <v>27340-315</v>
      </c>
      <c r="B921" t="s">
        <v>9</v>
      </c>
    </row>
    <row r="922" spans="1:2" x14ac:dyDescent="0.3">
      <c r="A922" t="str">
        <f>"27340-316"</f>
        <v>27340-316</v>
      </c>
      <c r="B922" t="s">
        <v>9</v>
      </c>
    </row>
    <row r="923" spans="1:2" x14ac:dyDescent="0.3">
      <c r="A923" t="str">
        <f>"273A2803-3"</f>
        <v>273A2803-3</v>
      </c>
      <c r="B923" t="s">
        <v>1319</v>
      </c>
    </row>
    <row r="924" spans="1:2" x14ac:dyDescent="0.3">
      <c r="A924" t="str">
        <f>"274A1902-3"</f>
        <v>274A1902-3</v>
      </c>
      <c r="B924" t="s">
        <v>861</v>
      </c>
    </row>
    <row r="925" spans="1:2" x14ac:dyDescent="0.3">
      <c r="A925" t="str">
        <f>"275-0018"</f>
        <v>275-0018</v>
      </c>
      <c r="B925" t="s">
        <v>2219</v>
      </c>
    </row>
    <row r="926" spans="1:2" x14ac:dyDescent="0.3">
      <c r="A926" t="str">
        <f>"275002"</f>
        <v>275002</v>
      </c>
      <c r="B926" t="s">
        <v>264</v>
      </c>
    </row>
    <row r="927" spans="1:2" x14ac:dyDescent="0.3">
      <c r="A927" t="str">
        <f>"275-0024"</f>
        <v>275-0024</v>
      </c>
      <c r="B927" t="s">
        <v>264</v>
      </c>
    </row>
    <row r="928" spans="1:2" x14ac:dyDescent="0.3">
      <c r="A928" t="str">
        <f>"275-0026"</f>
        <v>275-0026</v>
      </c>
      <c r="B928" t="s">
        <v>2019</v>
      </c>
    </row>
    <row r="929" spans="1:2" x14ac:dyDescent="0.3">
      <c r="A929" t="str">
        <f>"275003"</f>
        <v>275003</v>
      </c>
      <c r="B929" t="s">
        <v>264</v>
      </c>
    </row>
    <row r="930" spans="1:2" x14ac:dyDescent="0.3">
      <c r="A930" t="str">
        <f>"2755"</f>
        <v>2755</v>
      </c>
      <c r="B930" t="s">
        <v>2243</v>
      </c>
    </row>
    <row r="931" spans="1:2" x14ac:dyDescent="0.3">
      <c r="A931" t="str">
        <f>"2758"</f>
        <v>2758</v>
      </c>
      <c r="B931" t="s">
        <v>181</v>
      </c>
    </row>
    <row r="932" spans="1:2" x14ac:dyDescent="0.3">
      <c r="A932" t="str">
        <f>"276005"</f>
        <v>276005</v>
      </c>
      <c r="B932" t="s">
        <v>264</v>
      </c>
    </row>
    <row r="933" spans="1:2" x14ac:dyDescent="0.3">
      <c r="A933" t="str">
        <f>"27620-20629"</f>
        <v>27620-20629</v>
      </c>
      <c r="B933" t="s">
        <v>119</v>
      </c>
    </row>
    <row r="934" spans="1:2" x14ac:dyDescent="0.3">
      <c r="A934" t="str">
        <f>"27690-20629"</f>
        <v>27690-20629</v>
      </c>
      <c r="B934" t="s">
        <v>3371</v>
      </c>
    </row>
    <row r="935" spans="1:2" x14ac:dyDescent="0.3">
      <c r="A935" t="str">
        <f>"2778-18"</f>
        <v>2778-18</v>
      </c>
      <c r="B935" t="s">
        <v>181</v>
      </c>
    </row>
    <row r="936" spans="1:2" x14ac:dyDescent="0.3">
      <c r="A936" t="str">
        <f>"2-792-02"</f>
        <v>2-792-02</v>
      </c>
      <c r="B936" t="s">
        <v>491</v>
      </c>
    </row>
    <row r="937" spans="1:2" x14ac:dyDescent="0.3">
      <c r="A937" t="str">
        <f>"27981-001"</f>
        <v>27981-001</v>
      </c>
      <c r="B937" t="s">
        <v>10</v>
      </c>
    </row>
    <row r="938" spans="1:2" x14ac:dyDescent="0.3">
      <c r="A938" t="str">
        <f>"27981-002"</f>
        <v>27981-002</v>
      </c>
      <c r="B938" t="s">
        <v>10</v>
      </c>
    </row>
    <row r="939" spans="1:2" x14ac:dyDescent="0.3">
      <c r="A939" t="str">
        <f>"27981-003"</f>
        <v>27981-003</v>
      </c>
      <c r="B939" t="s">
        <v>10</v>
      </c>
    </row>
    <row r="940" spans="1:2" x14ac:dyDescent="0.3">
      <c r="A940" t="str">
        <f>"27981-004"</f>
        <v>27981-004</v>
      </c>
    </row>
    <row r="941" spans="1:2" x14ac:dyDescent="0.3">
      <c r="A941" t="str">
        <f>"27981-005"</f>
        <v>27981-005</v>
      </c>
    </row>
    <row r="942" spans="1:2" x14ac:dyDescent="0.3">
      <c r="A942" t="str">
        <f>"27981-006"</f>
        <v>27981-006</v>
      </c>
    </row>
    <row r="943" spans="1:2" x14ac:dyDescent="0.3">
      <c r="A943" t="str">
        <f>"27981-007"</f>
        <v>27981-007</v>
      </c>
    </row>
    <row r="944" spans="1:2" x14ac:dyDescent="0.3">
      <c r="A944" t="str">
        <f>"27PC0174103-089"</f>
        <v>27PC0174103-089</v>
      </c>
      <c r="B944" t="s">
        <v>4727</v>
      </c>
    </row>
    <row r="945" spans="1:2" x14ac:dyDescent="0.3">
      <c r="A945" t="str">
        <f>"280-0053"</f>
        <v>280-0053</v>
      </c>
      <c r="B945" t="s">
        <v>151</v>
      </c>
    </row>
    <row r="946" spans="1:2" x14ac:dyDescent="0.3">
      <c r="A946" t="str">
        <f>"28022-00"</f>
        <v>28022-00</v>
      </c>
      <c r="B946" t="s">
        <v>682</v>
      </c>
    </row>
    <row r="947" spans="1:2" x14ac:dyDescent="0.3">
      <c r="A947" t="str">
        <f>"2-8041-1"</f>
        <v>2-8041-1</v>
      </c>
      <c r="B947" t="s">
        <v>874</v>
      </c>
    </row>
    <row r="948" spans="1:2" x14ac:dyDescent="0.3">
      <c r="A948" t="str">
        <f>"280T1020-565"</f>
        <v>280T1020-565</v>
      </c>
      <c r="B948" t="s">
        <v>494</v>
      </c>
    </row>
    <row r="949" spans="1:2" x14ac:dyDescent="0.3">
      <c r="A949" t="str">
        <f>"282-1001-001"</f>
        <v>282-1001-001</v>
      </c>
      <c r="B949" t="s">
        <v>2658</v>
      </c>
    </row>
    <row r="950" spans="1:2" x14ac:dyDescent="0.3">
      <c r="A950" t="str">
        <f>"282-1001-002"</f>
        <v>282-1001-002</v>
      </c>
      <c r="B950" t="s">
        <v>444</v>
      </c>
    </row>
    <row r="951" spans="1:2" x14ac:dyDescent="0.3">
      <c r="A951" t="str">
        <f>"28301-02"</f>
        <v>28301-02</v>
      </c>
      <c r="B951" t="s">
        <v>1934</v>
      </c>
    </row>
    <row r="952" spans="1:2" x14ac:dyDescent="0.3">
      <c r="A952" t="str">
        <f>"28314-12"</f>
        <v>28314-12</v>
      </c>
      <c r="B952" t="s">
        <v>1212</v>
      </c>
    </row>
    <row r="953" spans="1:2" x14ac:dyDescent="0.3">
      <c r="A953" t="str">
        <f>"28370-001"</f>
        <v>28370-001</v>
      </c>
      <c r="B953" t="s">
        <v>233</v>
      </c>
    </row>
    <row r="954" spans="1:2" x14ac:dyDescent="0.3">
      <c r="A954" t="str">
        <f>"28370-002"</f>
        <v>28370-002</v>
      </c>
      <c r="B954" t="s">
        <v>233</v>
      </c>
    </row>
    <row r="955" spans="1:2" x14ac:dyDescent="0.3">
      <c r="A955" t="str">
        <f>"28370-005"</f>
        <v>28370-005</v>
      </c>
      <c r="B955" t="s">
        <v>233</v>
      </c>
    </row>
    <row r="956" spans="1:2" x14ac:dyDescent="0.3">
      <c r="A956" t="str">
        <f>"28370-006"</f>
        <v>28370-006</v>
      </c>
      <c r="B956" t="s">
        <v>233</v>
      </c>
    </row>
    <row r="957" spans="1:2" x14ac:dyDescent="0.3">
      <c r="A957" t="str">
        <f>"28370-007"</f>
        <v>28370-007</v>
      </c>
      <c r="B957" t="s">
        <v>233</v>
      </c>
    </row>
    <row r="958" spans="1:2" x14ac:dyDescent="0.3">
      <c r="A958" t="str">
        <f>"28370-008"</f>
        <v>28370-008</v>
      </c>
      <c r="B958" t="s">
        <v>233</v>
      </c>
    </row>
    <row r="959" spans="1:2" x14ac:dyDescent="0.3">
      <c r="A959" t="str">
        <f>"28370-009"</f>
        <v>28370-009</v>
      </c>
      <c r="B959" t="s">
        <v>233</v>
      </c>
    </row>
    <row r="960" spans="1:2" x14ac:dyDescent="0.3">
      <c r="A960" t="str">
        <f>"28370-010"</f>
        <v>28370-010</v>
      </c>
      <c r="B960" t="s">
        <v>233</v>
      </c>
    </row>
    <row r="961" spans="1:2" x14ac:dyDescent="0.3">
      <c r="A961" t="str">
        <f>"28370-011"</f>
        <v>28370-011</v>
      </c>
      <c r="B961" t="s">
        <v>233</v>
      </c>
    </row>
    <row r="962" spans="1:2" x14ac:dyDescent="0.3">
      <c r="A962" t="str">
        <f>"28370-012"</f>
        <v>28370-012</v>
      </c>
      <c r="B962" t="s">
        <v>233</v>
      </c>
    </row>
    <row r="963" spans="1:2" x14ac:dyDescent="0.3">
      <c r="A963" t="str">
        <f>"28370-013"</f>
        <v>28370-013</v>
      </c>
      <c r="B963" t="s">
        <v>233</v>
      </c>
    </row>
    <row r="964" spans="1:2" x14ac:dyDescent="0.3">
      <c r="A964" t="str">
        <f>"28370-014"</f>
        <v>28370-014</v>
      </c>
      <c r="B964" t="s">
        <v>233</v>
      </c>
    </row>
    <row r="965" spans="1:2" x14ac:dyDescent="0.3">
      <c r="A965" t="str">
        <f>"28370-015"</f>
        <v>28370-015</v>
      </c>
      <c r="B965" t="s">
        <v>233</v>
      </c>
    </row>
    <row r="966" spans="1:2" x14ac:dyDescent="0.3">
      <c r="A966" t="str">
        <f>"28370-016"</f>
        <v>28370-016</v>
      </c>
      <c r="B966" t="s">
        <v>233</v>
      </c>
    </row>
    <row r="967" spans="1:2" x14ac:dyDescent="0.3">
      <c r="A967" t="str">
        <f>"28370-019"</f>
        <v>28370-019</v>
      </c>
      <c r="B967" t="s">
        <v>233</v>
      </c>
    </row>
    <row r="968" spans="1:2" x14ac:dyDescent="0.3">
      <c r="A968" t="str">
        <f>"28370-020"</f>
        <v>28370-020</v>
      </c>
      <c r="B968" t="s">
        <v>233</v>
      </c>
    </row>
    <row r="969" spans="1:2" x14ac:dyDescent="0.3">
      <c r="A969" t="str">
        <f>"28370-021"</f>
        <v>28370-021</v>
      </c>
      <c r="B969" t="s">
        <v>233</v>
      </c>
    </row>
    <row r="970" spans="1:2" x14ac:dyDescent="0.3">
      <c r="A970" t="str">
        <f>"28370-022"</f>
        <v>28370-022</v>
      </c>
      <c r="B970" t="s">
        <v>233</v>
      </c>
    </row>
    <row r="971" spans="1:2" x14ac:dyDescent="0.3">
      <c r="A971" t="str">
        <f>"28370-023"</f>
        <v>28370-023</v>
      </c>
      <c r="B971" t="s">
        <v>233</v>
      </c>
    </row>
    <row r="972" spans="1:2" x14ac:dyDescent="0.3">
      <c r="A972" t="str">
        <f>"28370-024"</f>
        <v>28370-024</v>
      </c>
      <c r="B972" t="s">
        <v>233</v>
      </c>
    </row>
    <row r="973" spans="1:2" x14ac:dyDescent="0.3">
      <c r="A973" t="str">
        <f>"28370-025"</f>
        <v>28370-025</v>
      </c>
      <c r="B973" t="s">
        <v>233</v>
      </c>
    </row>
    <row r="974" spans="1:2" x14ac:dyDescent="0.3">
      <c r="A974" t="str">
        <f>"28370-026"</f>
        <v>28370-026</v>
      </c>
      <c r="B974" t="s">
        <v>233</v>
      </c>
    </row>
    <row r="975" spans="1:2" x14ac:dyDescent="0.3">
      <c r="A975" t="str">
        <f>"28370-027"</f>
        <v>28370-027</v>
      </c>
      <c r="B975" t="s">
        <v>233</v>
      </c>
    </row>
    <row r="976" spans="1:2" x14ac:dyDescent="0.3">
      <c r="A976" t="str">
        <f>"28370-028"</f>
        <v>28370-028</v>
      </c>
      <c r="B976" t="s">
        <v>233</v>
      </c>
    </row>
    <row r="977" spans="1:2" x14ac:dyDescent="0.3">
      <c r="A977" t="str">
        <f>"28370-029"</f>
        <v>28370-029</v>
      </c>
      <c r="B977" t="s">
        <v>233</v>
      </c>
    </row>
    <row r="978" spans="1:2" x14ac:dyDescent="0.3">
      <c r="A978" t="str">
        <f>"28370-030"</f>
        <v>28370-030</v>
      </c>
      <c r="B978" t="s">
        <v>233</v>
      </c>
    </row>
    <row r="979" spans="1:2" x14ac:dyDescent="0.3">
      <c r="A979" t="str">
        <f>"28370-031"</f>
        <v>28370-031</v>
      </c>
      <c r="B979" t="s">
        <v>233</v>
      </c>
    </row>
    <row r="980" spans="1:2" x14ac:dyDescent="0.3">
      <c r="A980" t="str">
        <f>"28370-032"</f>
        <v>28370-032</v>
      </c>
      <c r="B980" t="s">
        <v>233</v>
      </c>
    </row>
    <row r="981" spans="1:2" x14ac:dyDescent="0.3">
      <c r="A981" t="str">
        <f>"28370-033"</f>
        <v>28370-033</v>
      </c>
      <c r="B981" t="s">
        <v>233</v>
      </c>
    </row>
    <row r="982" spans="1:2" x14ac:dyDescent="0.3">
      <c r="A982" t="str">
        <f>"28370-034"</f>
        <v>28370-034</v>
      </c>
    </row>
    <row r="983" spans="1:2" x14ac:dyDescent="0.3">
      <c r="A983" t="str">
        <f>"28370-035"</f>
        <v>28370-035</v>
      </c>
      <c r="B983" t="s">
        <v>10</v>
      </c>
    </row>
    <row r="984" spans="1:2" x14ac:dyDescent="0.3">
      <c r="A984" t="str">
        <f>"28370-036"</f>
        <v>28370-036</v>
      </c>
      <c r="B984" t="s">
        <v>10</v>
      </c>
    </row>
    <row r="985" spans="1:2" x14ac:dyDescent="0.3">
      <c r="A985" t="str">
        <f>"28370-037"</f>
        <v>28370-037</v>
      </c>
      <c r="B985" t="s">
        <v>110</v>
      </c>
    </row>
    <row r="986" spans="1:2" x14ac:dyDescent="0.3">
      <c r="A986" t="str">
        <f>"28370-038"</f>
        <v>28370-038</v>
      </c>
      <c r="B986" t="s">
        <v>110</v>
      </c>
    </row>
    <row r="987" spans="1:2" x14ac:dyDescent="0.3">
      <c r="A987" t="str">
        <f>"28370-039"</f>
        <v>28370-039</v>
      </c>
    </row>
    <row r="988" spans="1:2" x14ac:dyDescent="0.3">
      <c r="A988" t="str">
        <f>"28370-040"</f>
        <v>28370-040</v>
      </c>
    </row>
    <row r="989" spans="1:2" x14ac:dyDescent="0.3">
      <c r="A989" t="str">
        <f>"28370-041"</f>
        <v>28370-041</v>
      </c>
    </row>
    <row r="990" spans="1:2" x14ac:dyDescent="0.3">
      <c r="A990" t="str">
        <f>"28370-042"</f>
        <v>28370-042</v>
      </c>
    </row>
    <row r="991" spans="1:2" x14ac:dyDescent="0.3">
      <c r="A991" t="str">
        <f>"28370-043"</f>
        <v>28370-043</v>
      </c>
    </row>
    <row r="992" spans="1:2" x14ac:dyDescent="0.3">
      <c r="A992" t="str">
        <f>"28370-044"</f>
        <v>28370-044</v>
      </c>
    </row>
    <row r="993" spans="1:2" x14ac:dyDescent="0.3">
      <c r="A993" t="str">
        <f>"28370-045"</f>
        <v>28370-045</v>
      </c>
    </row>
    <row r="994" spans="1:2" x14ac:dyDescent="0.3">
      <c r="A994" t="str">
        <f>"28370-046"</f>
        <v>28370-046</v>
      </c>
    </row>
    <row r="995" spans="1:2" x14ac:dyDescent="0.3">
      <c r="A995" t="str">
        <f>"28370-047"</f>
        <v>28370-047</v>
      </c>
    </row>
    <row r="996" spans="1:2" x14ac:dyDescent="0.3">
      <c r="A996" t="str">
        <f>"28370-048"</f>
        <v>28370-048</v>
      </c>
    </row>
    <row r="997" spans="1:2" x14ac:dyDescent="0.3">
      <c r="A997" t="str">
        <f>"28370-049"</f>
        <v>28370-049</v>
      </c>
    </row>
    <row r="998" spans="1:2" x14ac:dyDescent="0.3">
      <c r="A998" t="str">
        <f>"28396-006"</f>
        <v>28396-006</v>
      </c>
      <c r="B998" t="s">
        <v>13</v>
      </c>
    </row>
    <row r="999" spans="1:2" x14ac:dyDescent="0.3">
      <c r="A999" t="str">
        <f>"28396-007"</f>
        <v>28396-007</v>
      </c>
      <c r="B999" t="s">
        <v>13</v>
      </c>
    </row>
    <row r="1000" spans="1:2" x14ac:dyDescent="0.3">
      <c r="A1000" t="str">
        <f>"28396-206"</f>
        <v>28396-206</v>
      </c>
      <c r="B1000" t="s">
        <v>13</v>
      </c>
    </row>
    <row r="1001" spans="1:2" x14ac:dyDescent="0.3">
      <c r="A1001" t="str">
        <f>"28396-207"</f>
        <v>28396-207</v>
      </c>
      <c r="B1001" t="s">
        <v>13</v>
      </c>
    </row>
    <row r="1002" spans="1:2" x14ac:dyDescent="0.3">
      <c r="A1002" t="str">
        <f>"28396-306"</f>
        <v>28396-306</v>
      </c>
      <c r="B1002" t="s">
        <v>13</v>
      </c>
    </row>
    <row r="1003" spans="1:2" x14ac:dyDescent="0.3">
      <c r="A1003" t="str">
        <f>"28396-307"</f>
        <v>28396-307</v>
      </c>
      <c r="B1003" t="s">
        <v>13</v>
      </c>
    </row>
    <row r="1004" spans="1:2" x14ac:dyDescent="0.3">
      <c r="A1004" t="str">
        <f>"284A3112-19"</f>
        <v>284A3112-19</v>
      </c>
      <c r="B1004" t="s">
        <v>151</v>
      </c>
    </row>
    <row r="1005" spans="1:2" x14ac:dyDescent="0.3">
      <c r="A1005" t="str">
        <f>"284A6112-1"</f>
        <v>284A6112-1</v>
      </c>
      <c r="B1005" t="s">
        <v>336</v>
      </c>
    </row>
    <row r="1006" spans="1:2" x14ac:dyDescent="0.3">
      <c r="A1006" t="str">
        <f>"285A1632-2"</f>
        <v>285A1632-2</v>
      </c>
      <c r="B1006" t="s">
        <v>3579</v>
      </c>
    </row>
    <row r="1007" spans="1:2" x14ac:dyDescent="0.3">
      <c r="A1007" t="str">
        <f>"285W0096-10B"</f>
        <v>285W0096-10B</v>
      </c>
      <c r="B1007" t="s">
        <v>2711</v>
      </c>
    </row>
    <row r="1008" spans="1:2" x14ac:dyDescent="0.3">
      <c r="A1008" t="str">
        <f>"285W0096-11B"</f>
        <v>285W0096-11B</v>
      </c>
      <c r="B1008" t="s">
        <v>2710</v>
      </c>
    </row>
    <row r="1009" spans="1:2" x14ac:dyDescent="0.3">
      <c r="A1009" t="str">
        <f>"285W0096-7B"</f>
        <v>285W0096-7B</v>
      </c>
      <c r="B1009" t="s">
        <v>1492</v>
      </c>
    </row>
    <row r="1010" spans="1:2" x14ac:dyDescent="0.3">
      <c r="A1010" t="str">
        <f>"28695-001"</f>
        <v>28695-001</v>
      </c>
      <c r="B1010" t="s">
        <v>4521</v>
      </c>
    </row>
    <row r="1011" spans="1:2" x14ac:dyDescent="0.3">
      <c r="A1011" t="str">
        <f>"289-1001"</f>
        <v>289-1001</v>
      </c>
      <c r="B1011" t="s">
        <v>1212</v>
      </c>
    </row>
    <row r="1012" spans="1:2" x14ac:dyDescent="0.3">
      <c r="A1012" t="str">
        <f>"289-801-236"</f>
        <v>289-801-236</v>
      </c>
      <c r="B1012" t="s">
        <v>2918</v>
      </c>
    </row>
    <row r="1013" spans="1:2" x14ac:dyDescent="0.3">
      <c r="A1013" t="str">
        <f>"289-801-237"</f>
        <v>289-801-237</v>
      </c>
      <c r="B1013" t="s">
        <v>3674</v>
      </c>
    </row>
    <row r="1014" spans="1:2" x14ac:dyDescent="0.3">
      <c r="A1014" t="str">
        <f>"289-801-240"</f>
        <v>289-801-240</v>
      </c>
      <c r="B1014" t="s">
        <v>4151</v>
      </c>
    </row>
    <row r="1015" spans="1:2" x14ac:dyDescent="0.3">
      <c r="A1015" t="str">
        <f>"2-9012-2-237"</f>
        <v>2-9012-2-237</v>
      </c>
      <c r="B1015" t="s">
        <v>2312</v>
      </c>
    </row>
    <row r="1016" spans="1:2" x14ac:dyDescent="0.3">
      <c r="A1016" t="str">
        <f>"2906"</f>
        <v>2906</v>
      </c>
      <c r="B1016" t="s">
        <v>132</v>
      </c>
    </row>
    <row r="1017" spans="1:2" x14ac:dyDescent="0.3">
      <c r="A1017" t="str">
        <f>"29-1226"</f>
        <v>29-1226</v>
      </c>
      <c r="B1017" t="s">
        <v>1466</v>
      </c>
    </row>
    <row r="1018" spans="1:2" x14ac:dyDescent="0.3">
      <c r="A1018" t="str">
        <f>"29620-20629"</f>
        <v>29620-20629</v>
      </c>
      <c r="B1018" t="s">
        <v>119</v>
      </c>
    </row>
    <row r="1019" spans="1:2" x14ac:dyDescent="0.3">
      <c r="A1019" t="str">
        <f>"2980192100000"</f>
        <v>2980192100000</v>
      </c>
      <c r="B1019" t="s">
        <v>2870</v>
      </c>
    </row>
    <row r="1020" spans="1:2" x14ac:dyDescent="0.3">
      <c r="A1020" t="str">
        <f>"2980192100110"</f>
        <v>2980192100110</v>
      </c>
      <c r="B1020" t="s">
        <v>3140</v>
      </c>
    </row>
    <row r="1021" spans="1:2" x14ac:dyDescent="0.3">
      <c r="A1021" t="str">
        <f>"2993"</f>
        <v>2993</v>
      </c>
      <c r="B1021" t="s">
        <v>2110</v>
      </c>
    </row>
    <row r="1022" spans="1:2" x14ac:dyDescent="0.3">
      <c r="A1022" t="str">
        <f>"2A090-0763"</f>
        <v>2A090-0763</v>
      </c>
      <c r="B1022" t="s">
        <v>4483</v>
      </c>
    </row>
    <row r="1023" spans="1:2" x14ac:dyDescent="0.3">
      <c r="A1023" t="str">
        <f>"2A201-0631"</f>
        <v>2A201-0631</v>
      </c>
      <c r="B1023" t="s">
        <v>4484</v>
      </c>
    </row>
    <row r="1024" spans="1:2" x14ac:dyDescent="0.3">
      <c r="A1024" t="str">
        <f>"2D2020-5"</f>
        <v>2D2020-5</v>
      </c>
      <c r="B1024" t="s">
        <v>4538</v>
      </c>
    </row>
    <row r="1025" spans="1:2" x14ac:dyDescent="0.3">
      <c r="A1025" t="str">
        <f>"2D2023-3"</f>
        <v>2D2023-3</v>
      </c>
      <c r="B1025" t="s">
        <v>136</v>
      </c>
    </row>
    <row r="1026" spans="1:2" x14ac:dyDescent="0.3">
      <c r="A1026" t="str">
        <f>"2D2025-13"</f>
        <v>2D2025-13</v>
      </c>
      <c r="B1026" t="s">
        <v>393</v>
      </c>
    </row>
    <row r="1027" spans="1:2" x14ac:dyDescent="0.3">
      <c r="A1027" t="str">
        <f>"2D3013-3"</f>
        <v>2D3013-3</v>
      </c>
      <c r="B1027" t="s">
        <v>4256</v>
      </c>
    </row>
    <row r="1028" spans="1:2" x14ac:dyDescent="0.3">
      <c r="A1028" t="str">
        <f>"2D3015-1"</f>
        <v>2D3015-1</v>
      </c>
      <c r="B1028" t="s">
        <v>4539</v>
      </c>
    </row>
    <row r="1029" spans="1:2" x14ac:dyDescent="0.3">
      <c r="A1029" t="str">
        <f>"2HNSO-61H12371155"</f>
        <v>2HNSO-61H12371155</v>
      </c>
      <c r="B1029" t="s">
        <v>3865</v>
      </c>
    </row>
    <row r="1030" spans="1:2" x14ac:dyDescent="0.3">
      <c r="A1030" t="str">
        <f>"2KLF16"</f>
        <v>2KLF16</v>
      </c>
      <c r="B1030" t="s">
        <v>4482</v>
      </c>
    </row>
    <row r="1031" spans="1:2" x14ac:dyDescent="0.3">
      <c r="A1031" t="str">
        <f>"2LA455162-00"</f>
        <v>2LA455162-00</v>
      </c>
      <c r="B1031" t="s">
        <v>3948</v>
      </c>
    </row>
    <row r="1032" spans="1:2" x14ac:dyDescent="0.3">
      <c r="A1032" t="str">
        <f>"2LA455163-02"</f>
        <v>2LA455163-02</v>
      </c>
      <c r="B1032" t="s">
        <v>3753</v>
      </c>
    </row>
    <row r="1033" spans="1:2" x14ac:dyDescent="0.3">
      <c r="A1033" t="str">
        <f>"2LA455226-05"</f>
        <v>2LA455226-05</v>
      </c>
      <c r="B1033" t="s">
        <v>3794</v>
      </c>
    </row>
    <row r="1034" spans="1:2" x14ac:dyDescent="0.3">
      <c r="A1034" t="str">
        <f>"2N1604"</f>
        <v>2N1604</v>
      </c>
    </row>
    <row r="1035" spans="1:2" x14ac:dyDescent="0.3">
      <c r="A1035" t="str">
        <f>"2N2102"</f>
        <v>2N2102</v>
      </c>
      <c r="B1035" t="s">
        <v>139</v>
      </c>
    </row>
    <row r="1036" spans="1:2" x14ac:dyDescent="0.3">
      <c r="A1036" t="str">
        <f>"2N2222A"</f>
        <v>2N2222A</v>
      </c>
      <c r="B1036" t="s">
        <v>4357</v>
      </c>
    </row>
    <row r="1037" spans="1:2" x14ac:dyDescent="0.3">
      <c r="A1037" t="str">
        <f>"2N2905A"</f>
        <v>2N2905A</v>
      </c>
      <c r="B1037" t="s">
        <v>139</v>
      </c>
    </row>
    <row r="1038" spans="1:2" x14ac:dyDescent="0.3">
      <c r="A1038" t="str">
        <f>"2N2907A"</f>
        <v>2N2907A</v>
      </c>
      <c r="B1038" t="s">
        <v>475</v>
      </c>
    </row>
    <row r="1039" spans="1:2" x14ac:dyDescent="0.3">
      <c r="A1039" t="str">
        <f>"2N3444"</f>
        <v>2N3444</v>
      </c>
      <c r="B1039" t="s">
        <v>139</v>
      </c>
    </row>
    <row r="1040" spans="1:2" x14ac:dyDescent="0.3">
      <c r="A1040" t="str">
        <f>"2N3700"</f>
        <v>2N3700</v>
      </c>
      <c r="B1040" t="s">
        <v>139</v>
      </c>
    </row>
    <row r="1041" spans="1:2" x14ac:dyDescent="0.3">
      <c r="A1041" t="str">
        <f>"2N3726"</f>
        <v>2N3726</v>
      </c>
      <c r="B1041" t="s">
        <v>139</v>
      </c>
    </row>
    <row r="1042" spans="1:2" x14ac:dyDescent="0.3">
      <c r="A1042" t="str">
        <f>"2N4036"</f>
        <v>2N4036</v>
      </c>
      <c r="B1042" t="s">
        <v>139</v>
      </c>
    </row>
    <row r="1043" spans="1:2" x14ac:dyDescent="0.3">
      <c r="A1043" t="str">
        <f>"2N4093"</f>
        <v>2N4093</v>
      </c>
      <c r="B1043" t="s">
        <v>139</v>
      </c>
    </row>
    <row r="1044" spans="1:2" x14ac:dyDescent="0.3">
      <c r="A1044" t="str">
        <f>"2N4220"</f>
        <v>2N4220</v>
      </c>
      <c r="B1044" t="s">
        <v>139</v>
      </c>
    </row>
    <row r="1045" spans="1:2" x14ac:dyDescent="0.3">
      <c r="A1045" t="str">
        <f>"2N4236"</f>
        <v>2N4236</v>
      </c>
      <c r="B1045" t="s">
        <v>139</v>
      </c>
    </row>
    <row r="1046" spans="1:2" x14ac:dyDescent="0.3">
      <c r="A1046" t="str">
        <f>"2N4919"</f>
        <v>2N4919</v>
      </c>
      <c r="B1046" t="s">
        <v>139</v>
      </c>
    </row>
    <row r="1047" spans="1:2" x14ac:dyDescent="0.3">
      <c r="A1047" t="str">
        <f>"2N4922"</f>
        <v>2N4922</v>
      </c>
      <c r="B1047" t="s">
        <v>139</v>
      </c>
    </row>
    <row r="1048" spans="1:2" x14ac:dyDescent="0.3">
      <c r="A1048" t="str">
        <f>"2PB11H58"</f>
        <v>2PB11H58</v>
      </c>
      <c r="B1048" t="s">
        <v>13</v>
      </c>
    </row>
    <row r="1049" spans="1:2" x14ac:dyDescent="0.3">
      <c r="A1049" t="str">
        <f>"2R59573001-1"</f>
        <v>2R59573001-1</v>
      </c>
      <c r="B1049" t="s">
        <v>2746</v>
      </c>
    </row>
    <row r="1050" spans="1:2" x14ac:dyDescent="0.3">
      <c r="A1050" t="str">
        <f>"2RAA"</f>
        <v>2RAA</v>
      </c>
      <c r="B1050" t="s">
        <v>1684</v>
      </c>
    </row>
    <row r="1051" spans="1:2" x14ac:dyDescent="0.3">
      <c r="A1051" t="str">
        <f>"2RBB"</f>
        <v>2RBB</v>
      </c>
      <c r="B1051" t="s">
        <v>1685</v>
      </c>
    </row>
    <row r="1052" spans="1:2" x14ac:dyDescent="0.3">
      <c r="A1052" t="str">
        <f>"2RCC"</f>
        <v>2RCC</v>
      </c>
      <c r="B1052" t="s">
        <v>1685</v>
      </c>
    </row>
    <row r="1053" spans="1:2" x14ac:dyDescent="0.3">
      <c r="A1053" t="str">
        <f>"3001436-1"</f>
        <v>3001436-1</v>
      </c>
      <c r="B1053" t="s">
        <v>170</v>
      </c>
    </row>
    <row r="1054" spans="1:2" x14ac:dyDescent="0.3">
      <c r="A1054" t="str">
        <f>"30-0837-5"</f>
        <v>30-0837-5</v>
      </c>
      <c r="B1054" t="s">
        <v>710</v>
      </c>
    </row>
    <row r="1055" spans="1:2" x14ac:dyDescent="0.3">
      <c r="A1055" t="str">
        <f>"300SGL1052-1"</f>
        <v>300SGL1052-1</v>
      </c>
      <c r="B1055" t="s">
        <v>119</v>
      </c>
    </row>
    <row r="1056" spans="1:2" x14ac:dyDescent="0.3">
      <c r="A1056" t="str">
        <f>"300VR01L1A63CCD"</f>
        <v>300VR01L1A63CCD</v>
      </c>
      <c r="B1056" t="s">
        <v>785</v>
      </c>
    </row>
    <row r="1057" spans="1:2" x14ac:dyDescent="0.3">
      <c r="A1057" t="str">
        <f>"301"</f>
        <v>301</v>
      </c>
      <c r="B1057" t="s">
        <v>11</v>
      </c>
    </row>
    <row r="1058" spans="1:2" x14ac:dyDescent="0.3">
      <c r="A1058" t="str">
        <f>"3010011"</f>
        <v>3010011</v>
      </c>
      <c r="B1058" t="s">
        <v>1199</v>
      </c>
    </row>
    <row r="1059" spans="1:2" x14ac:dyDescent="0.3">
      <c r="A1059" t="str">
        <f>"3010050"</f>
        <v>3010050</v>
      </c>
      <c r="B1059" t="s">
        <v>1816</v>
      </c>
    </row>
    <row r="1060" spans="1:2" x14ac:dyDescent="0.3">
      <c r="A1060" t="str">
        <f>"301-015-420"</f>
        <v>301-015-420</v>
      </c>
      <c r="B1060" t="s">
        <v>984</v>
      </c>
    </row>
    <row r="1061" spans="1:2" x14ac:dyDescent="0.3">
      <c r="A1061" t="str">
        <f>"3010880"</f>
        <v>3010880</v>
      </c>
      <c r="B1061" t="s">
        <v>1782</v>
      </c>
    </row>
    <row r="1062" spans="1:2" x14ac:dyDescent="0.3">
      <c r="A1062" t="str">
        <f>"3011"</f>
        <v>3011</v>
      </c>
      <c r="B1062" t="s">
        <v>11</v>
      </c>
    </row>
    <row r="1063" spans="1:2" x14ac:dyDescent="0.3">
      <c r="A1063" t="str">
        <f>"3011 (GE)"</f>
        <v>3011 (GE)</v>
      </c>
      <c r="B1063" t="s">
        <v>623</v>
      </c>
    </row>
    <row r="1064" spans="1:2" x14ac:dyDescent="0.3">
      <c r="A1064" t="str">
        <f>"3011 (OL)"</f>
        <v>3011 (OL)</v>
      </c>
      <c r="B1064" t="s">
        <v>11</v>
      </c>
    </row>
    <row r="1065" spans="1:2" x14ac:dyDescent="0.3">
      <c r="A1065" t="str">
        <f>"3012089"</f>
        <v>3012089</v>
      </c>
      <c r="B1065" t="s">
        <v>1356</v>
      </c>
    </row>
    <row r="1066" spans="1:2" x14ac:dyDescent="0.3">
      <c r="A1066" t="str">
        <f>"301-249-420"</f>
        <v>301-249-420</v>
      </c>
      <c r="B1066" t="s">
        <v>983</v>
      </c>
    </row>
    <row r="1067" spans="1:2" x14ac:dyDescent="0.3">
      <c r="A1067" t="str">
        <f>"3012675"</f>
        <v>3012675</v>
      </c>
      <c r="B1067" t="s">
        <v>3831</v>
      </c>
    </row>
    <row r="1068" spans="1:2" x14ac:dyDescent="0.3">
      <c r="A1068" t="str">
        <f>"301-320-110-0"</f>
        <v>301-320-110-0</v>
      </c>
      <c r="B1068" t="s">
        <v>1549</v>
      </c>
    </row>
    <row r="1069" spans="1:2" x14ac:dyDescent="0.3">
      <c r="A1069" t="str">
        <f>"301-334-310"</f>
        <v>301-334-310</v>
      </c>
      <c r="B1069" t="s">
        <v>1957</v>
      </c>
    </row>
    <row r="1070" spans="1:2" x14ac:dyDescent="0.3">
      <c r="A1070" t="str">
        <f>"301-393-005"</f>
        <v>301-393-005</v>
      </c>
      <c r="B1070" t="s">
        <v>1699</v>
      </c>
    </row>
    <row r="1071" spans="1:2" x14ac:dyDescent="0.3">
      <c r="A1071" t="str">
        <f>"301-401-311"</f>
        <v>301-401-311</v>
      </c>
      <c r="B1071" t="s">
        <v>1958</v>
      </c>
    </row>
    <row r="1072" spans="1:2" x14ac:dyDescent="0.3">
      <c r="A1072" t="str">
        <f>"302-013-300"</f>
        <v>302-013-300</v>
      </c>
      <c r="B1072" t="s">
        <v>629</v>
      </c>
    </row>
    <row r="1073" spans="1:2" x14ac:dyDescent="0.3">
      <c r="A1073" t="str">
        <f>"302-013-300-01112"</f>
        <v>302-013-300-01112</v>
      </c>
      <c r="B1073" t="s">
        <v>986</v>
      </c>
    </row>
    <row r="1074" spans="1:2" x14ac:dyDescent="0.3">
      <c r="A1074" t="str">
        <f>"302-013-400"</f>
        <v>302-013-400</v>
      </c>
      <c r="B1074" t="s">
        <v>1576</v>
      </c>
    </row>
    <row r="1075" spans="1:2" x14ac:dyDescent="0.3">
      <c r="A1075" t="str">
        <f>"302-246-401"</f>
        <v>302-246-401</v>
      </c>
      <c r="B1075" t="s">
        <v>985</v>
      </c>
    </row>
    <row r="1076" spans="1:2" x14ac:dyDescent="0.3">
      <c r="A1076" t="str">
        <f>"3024146"</f>
        <v>3024146</v>
      </c>
      <c r="B1076" t="s">
        <v>353</v>
      </c>
    </row>
    <row r="1077" spans="1:2" x14ac:dyDescent="0.3">
      <c r="A1077" t="str">
        <f>"3027987"</f>
        <v>3027987</v>
      </c>
      <c r="B1077" t="s">
        <v>1347</v>
      </c>
    </row>
    <row r="1078" spans="1:2" x14ac:dyDescent="0.3">
      <c r="A1078" t="str">
        <f>"303"</f>
        <v>303</v>
      </c>
      <c r="B1078" t="s">
        <v>624</v>
      </c>
    </row>
    <row r="1079" spans="1:2" x14ac:dyDescent="0.3">
      <c r="A1079" t="str">
        <f>"30300-1286"</f>
        <v>30300-1286</v>
      </c>
      <c r="B1079" t="s">
        <v>1364</v>
      </c>
    </row>
    <row r="1080" spans="1:2" x14ac:dyDescent="0.3">
      <c r="A1080" t="str">
        <f>"30300-1383"</f>
        <v>30300-1383</v>
      </c>
      <c r="B1080" t="s">
        <v>2012</v>
      </c>
    </row>
    <row r="1081" spans="1:2" x14ac:dyDescent="0.3">
      <c r="A1081" t="str">
        <f>"30314-040"</f>
        <v>30314-040</v>
      </c>
      <c r="B1081" t="s">
        <v>13</v>
      </c>
    </row>
    <row r="1082" spans="1:2" x14ac:dyDescent="0.3">
      <c r="A1082" t="str">
        <f>"30314-041"</f>
        <v>30314-041</v>
      </c>
      <c r="B1082" t="s">
        <v>13</v>
      </c>
    </row>
    <row r="1083" spans="1:2" x14ac:dyDescent="0.3">
      <c r="A1083" t="str">
        <f>"3033355"</f>
        <v>3033355</v>
      </c>
      <c r="B1083" t="s">
        <v>170</v>
      </c>
    </row>
    <row r="1084" spans="1:2" x14ac:dyDescent="0.3">
      <c r="A1084" t="str">
        <f>"3033356"</f>
        <v>3033356</v>
      </c>
      <c r="B1084" t="s">
        <v>682</v>
      </c>
    </row>
    <row r="1085" spans="1:2" x14ac:dyDescent="0.3">
      <c r="A1085" t="str">
        <f>"30403-001"</f>
        <v>30403-001</v>
      </c>
      <c r="B1085" t="s">
        <v>635</v>
      </c>
    </row>
    <row r="1086" spans="1:2" x14ac:dyDescent="0.3">
      <c r="A1086" t="str">
        <f>"30407-001"</f>
        <v>30407-001</v>
      </c>
      <c r="B1086" t="s">
        <v>635</v>
      </c>
    </row>
    <row r="1087" spans="1:2" x14ac:dyDescent="0.3">
      <c r="A1087" t="str">
        <f>"3041974-01"</f>
        <v>3041974-01</v>
      </c>
      <c r="B1087" t="s">
        <v>590</v>
      </c>
    </row>
    <row r="1088" spans="1:2" x14ac:dyDescent="0.3">
      <c r="A1088" t="str">
        <f>"305"</f>
        <v>305</v>
      </c>
      <c r="B1088" t="s">
        <v>11</v>
      </c>
    </row>
    <row r="1089" spans="1:2" x14ac:dyDescent="0.3">
      <c r="A1089" t="str">
        <f>"305-115-709-0"</f>
        <v>305-115-709-0</v>
      </c>
      <c r="B1089" t="s">
        <v>132</v>
      </c>
    </row>
    <row r="1090" spans="1:2" x14ac:dyDescent="0.3">
      <c r="A1090" t="str">
        <f>"305467-00"</f>
        <v>305467-00</v>
      </c>
      <c r="B1090" t="s">
        <v>926</v>
      </c>
    </row>
    <row r="1091" spans="1:2" x14ac:dyDescent="0.3">
      <c r="A1091" t="str">
        <f>"305766-1"</f>
        <v>305766-1</v>
      </c>
      <c r="B1091" t="s">
        <v>18</v>
      </c>
    </row>
    <row r="1092" spans="1:2" x14ac:dyDescent="0.3">
      <c r="A1092" t="str">
        <f>"3059258-01"</f>
        <v>3059258-01</v>
      </c>
      <c r="B1092" t="s">
        <v>1330</v>
      </c>
    </row>
    <row r="1093" spans="1:2" x14ac:dyDescent="0.3">
      <c r="A1093" t="str">
        <f>"3059779-01"</f>
        <v>3059779-01</v>
      </c>
      <c r="B1093" t="s">
        <v>170</v>
      </c>
    </row>
    <row r="1094" spans="1:2" x14ac:dyDescent="0.3">
      <c r="A1094" t="str">
        <f>"306"</f>
        <v>306</v>
      </c>
      <c r="B1094" t="s">
        <v>11</v>
      </c>
    </row>
    <row r="1095" spans="1:2" x14ac:dyDescent="0.3">
      <c r="A1095" t="str">
        <f>"307"</f>
        <v>307</v>
      </c>
      <c r="B1095" t="s">
        <v>11</v>
      </c>
    </row>
    <row r="1096" spans="1:2" x14ac:dyDescent="0.3">
      <c r="A1096" t="str">
        <f>"3070220-01"</f>
        <v>3070220-01</v>
      </c>
      <c r="B1096" t="s">
        <v>635</v>
      </c>
    </row>
    <row r="1097" spans="1:2" x14ac:dyDescent="0.3">
      <c r="A1097" t="str">
        <f>"3071BPEGPL"</f>
        <v>3071BPEGPL</v>
      </c>
      <c r="B1097" t="s">
        <v>11</v>
      </c>
    </row>
    <row r="1098" spans="1:2" x14ac:dyDescent="0.3">
      <c r="A1098" t="str">
        <f>"3071BPEGPL (CM)"</f>
        <v>3071BPEGPL (CM)</v>
      </c>
      <c r="B1098" t="s">
        <v>4012</v>
      </c>
    </row>
    <row r="1099" spans="1:2" x14ac:dyDescent="0.3">
      <c r="A1099" t="str">
        <f>"3073301-01"</f>
        <v>3073301-01</v>
      </c>
      <c r="B1099" t="s">
        <v>4174</v>
      </c>
    </row>
    <row r="1100" spans="1:2" x14ac:dyDescent="0.3">
      <c r="A1100" t="str">
        <f>"30925-01C"</f>
        <v>30925-01C</v>
      </c>
      <c r="B1100" t="s">
        <v>2901</v>
      </c>
    </row>
    <row r="1101" spans="1:2" x14ac:dyDescent="0.3">
      <c r="A1101" t="str">
        <f>"309-4301"</f>
        <v>309-4301</v>
      </c>
      <c r="B1101" t="s">
        <v>13</v>
      </c>
    </row>
    <row r="1102" spans="1:2" x14ac:dyDescent="0.3">
      <c r="A1102" t="str">
        <f>"309-4332"</f>
        <v>309-4332</v>
      </c>
      <c r="B1102" t="s">
        <v>13</v>
      </c>
    </row>
    <row r="1103" spans="1:2" x14ac:dyDescent="0.3">
      <c r="A1103" t="str">
        <f>"30978-002"</f>
        <v>30978-002</v>
      </c>
      <c r="B1103" t="s">
        <v>3277</v>
      </c>
    </row>
    <row r="1104" spans="1:2" x14ac:dyDescent="0.3">
      <c r="A1104" t="str">
        <f>"30D157M050DD2A"</f>
        <v>30D157M050DD2A</v>
      </c>
      <c r="B1104" t="s">
        <v>133</v>
      </c>
    </row>
    <row r="1105" spans="1:2" x14ac:dyDescent="0.3">
      <c r="A1105" t="str">
        <f>"30D337M035DD2A"</f>
        <v>30D337M035DD2A</v>
      </c>
    </row>
    <row r="1106" spans="1:2" x14ac:dyDescent="0.3">
      <c r="A1106" t="str">
        <f>"31004-04C"</f>
        <v>31004-04C</v>
      </c>
      <c r="B1106" t="s">
        <v>3923</v>
      </c>
    </row>
    <row r="1107" spans="1:2" x14ac:dyDescent="0.3">
      <c r="A1107" t="str">
        <f>"3100922-05"</f>
        <v>3100922-05</v>
      </c>
      <c r="B1107" t="s">
        <v>1353</v>
      </c>
    </row>
    <row r="1108" spans="1:2" x14ac:dyDescent="0.3">
      <c r="A1108" t="str">
        <f>"310-2"</f>
        <v>310-2</v>
      </c>
      <c r="B1108" t="s">
        <v>4471</v>
      </c>
    </row>
    <row r="1109" spans="1:2" x14ac:dyDescent="0.3">
      <c r="A1109" t="str">
        <f>"31075-440"</f>
        <v>31075-440</v>
      </c>
      <c r="B1109" t="s">
        <v>1972</v>
      </c>
    </row>
    <row r="1110" spans="1:2" x14ac:dyDescent="0.3">
      <c r="A1110" t="str">
        <f>"31-0836-1"</f>
        <v>31-0836-1</v>
      </c>
      <c r="B1110" t="s">
        <v>20</v>
      </c>
    </row>
    <row r="1111" spans="1:2" x14ac:dyDescent="0.3">
      <c r="A1111" t="str">
        <f>"31-0884-1"</f>
        <v>31-0884-1</v>
      </c>
      <c r="B1111" t="s">
        <v>786</v>
      </c>
    </row>
    <row r="1112" spans="1:2" x14ac:dyDescent="0.3">
      <c r="A1112" t="str">
        <f>"310A1046-1"</f>
        <v>310A1046-1</v>
      </c>
      <c r="B1112" t="s">
        <v>246</v>
      </c>
    </row>
    <row r="1113" spans="1:2" x14ac:dyDescent="0.3">
      <c r="A1113" t="str">
        <f>"310FW04-10"</f>
        <v>310FW04-10</v>
      </c>
      <c r="B1113" t="s">
        <v>511</v>
      </c>
    </row>
    <row r="1114" spans="1:2" x14ac:dyDescent="0.3">
      <c r="A1114" t="str">
        <f>"310VR01K1R23BGW"</f>
        <v>310VR01K1R23BGW</v>
      </c>
      <c r="B1114" t="s">
        <v>337</v>
      </c>
    </row>
    <row r="1115" spans="1:2" x14ac:dyDescent="0.3">
      <c r="A1115" t="str">
        <f>"310VR01M1A76BMA"</f>
        <v>310VR01M1A76BMA</v>
      </c>
      <c r="B1115" t="s">
        <v>785</v>
      </c>
    </row>
    <row r="1116" spans="1:2" x14ac:dyDescent="0.3">
      <c r="A1116" t="str">
        <f>"311"</f>
        <v>311</v>
      </c>
      <c r="B1116" t="s">
        <v>625</v>
      </c>
    </row>
    <row r="1117" spans="1:2" x14ac:dyDescent="0.3">
      <c r="A1117" t="str">
        <f>"311 (GE)"</f>
        <v>311 (GE)</v>
      </c>
      <c r="B1117" t="s">
        <v>625</v>
      </c>
    </row>
    <row r="1118" spans="1:2" x14ac:dyDescent="0.3">
      <c r="A1118" t="str">
        <f>"3119836-01"</f>
        <v>3119836-01</v>
      </c>
      <c r="B1118" t="s">
        <v>1857</v>
      </c>
    </row>
    <row r="1119" spans="1:2" x14ac:dyDescent="0.3">
      <c r="A1119" t="str">
        <f>"311A2535-24"</f>
        <v>311A2535-24</v>
      </c>
      <c r="B1119" t="s">
        <v>132</v>
      </c>
    </row>
    <row r="1120" spans="1:2" x14ac:dyDescent="0.3">
      <c r="A1120" t="str">
        <f>"311AS001M1002"</f>
        <v>311AS001M1002</v>
      </c>
      <c r="B1120" t="s">
        <v>289</v>
      </c>
    </row>
    <row r="1121" spans="1:2" x14ac:dyDescent="0.3">
      <c r="A1121" t="str">
        <f>"311AS001M1203"</f>
        <v>311AS001M1203</v>
      </c>
      <c r="B1121" t="s">
        <v>290</v>
      </c>
    </row>
    <row r="1122" spans="1:2" x14ac:dyDescent="0.3">
      <c r="A1122" t="str">
        <f>"311AS001M1605"</f>
        <v>311AS001M1605</v>
      </c>
      <c r="B1122" t="s">
        <v>289</v>
      </c>
    </row>
    <row r="1123" spans="1:2" x14ac:dyDescent="0.3">
      <c r="A1123" t="str">
        <f>"311AS001M2005"</f>
        <v>311AS001M2005</v>
      </c>
      <c r="B1123" t="s">
        <v>290</v>
      </c>
    </row>
    <row r="1124" spans="1:2" x14ac:dyDescent="0.3">
      <c r="A1124" t="str">
        <f>"31-281-025"</f>
        <v>31-281-025</v>
      </c>
    </row>
    <row r="1125" spans="1:2" x14ac:dyDescent="0.3">
      <c r="A1125" t="str">
        <f>"31-2911-5"</f>
        <v>31-2911-5</v>
      </c>
      <c r="B1125" t="s">
        <v>133</v>
      </c>
    </row>
    <row r="1126" spans="1:2" x14ac:dyDescent="0.3">
      <c r="A1126" t="str">
        <f>"312BS801-1"</f>
        <v>312BS801-1</v>
      </c>
      <c r="B1126" t="s">
        <v>181</v>
      </c>
    </row>
    <row r="1127" spans="1:2" x14ac:dyDescent="0.3">
      <c r="A1127" t="str">
        <f>"312EDP2-2"</f>
        <v>312EDP2-2</v>
      </c>
      <c r="B1127" t="s">
        <v>490</v>
      </c>
    </row>
    <row r="1128" spans="1:2" x14ac:dyDescent="0.3">
      <c r="A1128" t="str">
        <f>"313"</f>
        <v>313</v>
      </c>
      <c r="B1128" t="s">
        <v>623</v>
      </c>
    </row>
    <row r="1129" spans="1:2" x14ac:dyDescent="0.3">
      <c r="A1129" t="str">
        <f>"313(OL)"</f>
        <v>313(OL)</v>
      </c>
      <c r="B1129" t="s">
        <v>11</v>
      </c>
    </row>
    <row r="1130" spans="1:2" x14ac:dyDescent="0.3">
      <c r="A1130" t="str">
        <f>"313-0200"</f>
        <v>313-0200</v>
      </c>
      <c r="B1130" t="s">
        <v>494</v>
      </c>
    </row>
    <row r="1131" spans="1:2" x14ac:dyDescent="0.3">
      <c r="A1131" t="str">
        <f>"313-0202"</f>
        <v>313-0202</v>
      </c>
      <c r="B1131" t="s">
        <v>494</v>
      </c>
    </row>
    <row r="1132" spans="1:2" x14ac:dyDescent="0.3">
      <c r="A1132" t="str">
        <f>"313-0234"</f>
        <v>313-0234</v>
      </c>
      <c r="B1132" t="s">
        <v>2045</v>
      </c>
    </row>
    <row r="1133" spans="1:2" x14ac:dyDescent="0.3">
      <c r="A1133" t="str">
        <f>"313-0244"</f>
        <v>313-0244</v>
      </c>
      <c r="B1133" t="s">
        <v>494</v>
      </c>
    </row>
    <row r="1134" spans="1:2" x14ac:dyDescent="0.3">
      <c r="A1134" t="str">
        <f>"313-0314"</f>
        <v>313-0314</v>
      </c>
      <c r="B1134" t="s">
        <v>494</v>
      </c>
    </row>
    <row r="1135" spans="1:2" x14ac:dyDescent="0.3">
      <c r="A1135" t="str">
        <f>"313-0341"</f>
        <v>313-0341</v>
      </c>
      <c r="B1135" t="s">
        <v>494</v>
      </c>
    </row>
    <row r="1136" spans="1:2" x14ac:dyDescent="0.3">
      <c r="A1136" t="str">
        <f>"313-0342"</f>
        <v>313-0342</v>
      </c>
      <c r="B1136" t="s">
        <v>494</v>
      </c>
    </row>
    <row r="1137" spans="1:2" x14ac:dyDescent="0.3">
      <c r="A1137" t="str">
        <f>"31-3038-1"</f>
        <v>31-3038-1</v>
      </c>
      <c r="B1137" t="s">
        <v>884</v>
      </c>
    </row>
    <row r="1138" spans="1:2" x14ac:dyDescent="0.3">
      <c r="A1138" t="str">
        <f>"313-0395"</f>
        <v>313-0395</v>
      </c>
      <c r="B1138" t="s">
        <v>494</v>
      </c>
    </row>
    <row r="1139" spans="1:2" x14ac:dyDescent="0.3">
      <c r="A1139" t="str">
        <f>"313-0409"</f>
        <v>313-0409</v>
      </c>
      <c r="B1139" t="s">
        <v>494</v>
      </c>
    </row>
    <row r="1140" spans="1:2" x14ac:dyDescent="0.3">
      <c r="A1140" t="str">
        <f>"313-0413"</f>
        <v>313-0413</v>
      </c>
      <c r="B1140" t="s">
        <v>494</v>
      </c>
    </row>
    <row r="1141" spans="1:2" x14ac:dyDescent="0.3">
      <c r="A1141" t="str">
        <f>"313S0094"</f>
        <v>313S0094</v>
      </c>
      <c r="B1141" t="s">
        <v>2140</v>
      </c>
    </row>
    <row r="1142" spans="1:2" x14ac:dyDescent="0.3">
      <c r="A1142" t="str">
        <f>"313-S0281"</f>
        <v>313-S0281</v>
      </c>
      <c r="B1142" t="s">
        <v>2123</v>
      </c>
    </row>
    <row r="1143" spans="1:2" x14ac:dyDescent="0.3">
      <c r="A1143" t="str">
        <f>"313SWYA"</f>
        <v>313SWYA</v>
      </c>
      <c r="B1143" t="s">
        <v>1971</v>
      </c>
    </row>
    <row r="1144" spans="1:2" x14ac:dyDescent="0.3">
      <c r="A1144" t="str">
        <f>"313SYA"</f>
        <v>313SYA</v>
      </c>
    </row>
    <row r="1145" spans="1:2" x14ac:dyDescent="0.3">
      <c r="A1145" t="str">
        <f>"31-4026-5"</f>
        <v>31-4026-5</v>
      </c>
      <c r="B1145" t="s">
        <v>336</v>
      </c>
    </row>
    <row r="1146" spans="1:2" x14ac:dyDescent="0.3">
      <c r="A1146" t="str">
        <f>"314-2264-7"</f>
        <v>314-2264-7</v>
      </c>
      <c r="B1146" t="s">
        <v>4511</v>
      </c>
    </row>
    <row r="1147" spans="1:2" x14ac:dyDescent="0.3">
      <c r="A1147" t="str">
        <f>"31460-5"</f>
        <v>31460-5</v>
      </c>
      <c r="B1147" t="s">
        <v>3023</v>
      </c>
    </row>
    <row r="1148" spans="1:2" x14ac:dyDescent="0.3">
      <c r="A1148" t="str">
        <f>"31460-7"</f>
        <v>31460-7</v>
      </c>
      <c r="B1148" t="s">
        <v>3023</v>
      </c>
    </row>
    <row r="1149" spans="1:2" x14ac:dyDescent="0.3">
      <c r="A1149" t="str">
        <f>"31461"</f>
        <v>31461</v>
      </c>
      <c r="B1149" t="s">
        <v>4716</v>
      </c>
    </row>
    <row r="1150" spans="1:2" x14ac:dyDescent="0.3">
      <c r="A1150" t="str">
        <f>"31-4747-1"</f>
        <v>31-4747-1</v>
      </c>
      <c r="B1150" t="s">
        <v>1563</v>
      </c>
    </row>
    <row r="1151" spans="1:2" x14ac:dyDescent="0.3">
      <c r="A1151" t="str">
        <f>"31-5206-15"</f>
        <v>31-5206-15</v>
      </c>
      <c r="B1151" t="s">
        <v>3556</v>
      </c>
    </row>
    <row r="1152" spans="1:2" x14ac:dyDescent="0.3">
      <c r="A1152" t="str">
        <f>"31528-002"</f>
        <v>31528-002</v>
      </c>
      <c r="B1152" t="s">
        <v>530</v>
      </c>
    </row>
    <row r="1153" spans="1:2" x14ac:dyDescent="0.3">
      <c r="A1153" t="str">
        <f>"31-5471-1"</f>
        <v>31-5471-1</v>
      </c>
      <c r="B1153" t="s">
        <v>353</v>
      </c>
    </row>
    <row r="1154" spans="1:2" x14ac:dyDescent="0.3">
      <c r="A1154" t="str">
        <f>"31572-001"</f>
        <v>31572-001</v>
      </c>
      <c r="B1154" t="s">
        <v>531</v>
      </c>
    </row>
    <row r="1155" spans="1:2" x14ac:dyDescent="0.3">
      <c r="A1155" t="str">
        <f>"31592"</f>
        <v>31592</v>
      </c>
      <c r="B1155" t="s">
        <v>136</v>
      </c>
    </row>
    <row r="1156" spans="1:2" x14ac:dyDescent="0.3">
      <c r="A1156" t="str">
        <f>"315A1585Y504"</f>
        <v>315A1585Y504</v>
      </c>
      <c r="B1156" t="s">
        <v>128</v>
      </c>
    </row>
    <row r="1157" spans="1:2" x14ac:dyDescent="0.3">
      <c r="A1157" t="str">
        <f>"315A1814-1"</f>
        <v>315A1814-1</v>
      </c>
      <c r="B1157" t="s">
        <v>246</v>
      </c>
    </row>
    <row r="1158" spans="1:2" x14ac:dyDescent="0.3">
      <c r="A1158" t="str">
        <f>"315A1828-2"</f>
        <v>315A1828-2</v>
      </c>
      <c r="B1158" t="s">
        <v>4342</v>
      </c>
    </row>
    <row r="1159" spans="1:2" x14ac:dyDescent="0.3">
      <c r="A1159" t="str">
        <f>"315A1833-1"</f>
        <v>315A1833-1</v>
      </c>
      <c r="B1159" t="s">
        <v>2683</v>
      </c>
    </row>
    <row r="1160" spans="1:2" x14ac:dyDescent="0.3">
      <c r="A1160" t="str">
        <f>"315A1863-3"</f>
        <v>315A1863-3</v>
      </c>
      <c r="B1160" t="s">
        <v>956</v>
      </c>
    </row>
    <row r="1161" spans="1:2" x14ac:dyDescent="0.3">
      <c r="A1161" t="str">
        <f>"315A1863-4"</f>
        <v>315A1863-4</v>
      </c>
      <c r="B1161" t="s">
        <v>956</v>
      </c>
    </row>
    <row r="1162" spans="1:2" x14ac:dyDescent="0.3">
      <c r="A1162" t="str">
        <f>"315A1867-1"</f>
        <v>315A1867-1</v>
      </c>
      <c r="B1162" t="s">
        <v>130</v>
      </c>
    </row>
    <row r="1163" spans="1:2" x14ac:dyDescent="0.3">
      <c r="A1163" t="str">
        <f>"315A1890-1"</f>
        <v>315A1890-1</v>
      </c>
      <c r="B1163" t="s">
        <v>4300</v>
      </c>
    </row>
    <row r="1164" spans="1:2" x14ac:dyDescent="0.3">
      <c r="A1164" t="str">
        <f>"315A2245-7"</f>
        <v>315A2245-7</v>
      </c>
      <c r="B1164" t="s">
        <v>132</v>
      </c>
    </row>
    <row r="1165" spans="1:2" x14ac:dyDescent="0.3">
      <c r="A1165" t="str">
        <f>"315A2857-1"</f>
        <v>315A2857-1</v>
      </c>
    </row>
    <row r="1166" spans="1:2" x14ac:dyDescent="0.3">
      <c r="A1166" t="str">
        <f>"3160756-5"</f>
        <v>3160756-5</v>
      </c>
      <c r="B1166" t="s">
        <v>152</v>
      </c>
    </row>
    <row r="1167" spans="1:2" x14ac:dyDescent="0.3">
      <c r="A1167" t="str">
        <f>"3161767-7"</f>
        <v>3161767-7</v>
      </c>
    </row>
    <row r="1168" spans="1:2" x14ac:dyDescent="0.3">
      <c r="A1168" t="str">
        <f>"3161827-1"</f>
        <v>3161827-1</v>
      </c>
      <c r="B1168" t="s">
        <v>116</v>
      </c>
    </row>
    <row r="1169" spans="1:2" x14ac:dyDescent="0.3">
      <c r="A1169" t="str">
        <f>"3162384-1"</f>
        <v>3162384-1</v>
      </c>
      <c r="B1169" t="s">
        <v>323</v>
      </c>
    </row>
    <row r="1170" spans="1:2" x14ac:dyDescent="0.3">
      <c r="A1170" t="str">
        <f>"3163963-1"</f>
        <v>3163963-1</v>
      </c>
      <c r="B1170" t="s">
        <v>18</v>
      </c>
    </row>
    <row r="1171" spans="1:2" x14ac:dyDescent="0.3">
      <c r="A1171" t="str">
        <f>"3-1640"</f>
        <v>3-1640</v>
      </c>
      <c r="B1171" t="s">
        <v>4173</v>
      </c>
    </row>
    <row r="1172" spans="1:2" x14ac:dyDescent="0.3">
      <c r="A1172" t="str">
        <f>"3-1642"</f>
        <v>3-1642</v>
      </c>
      <c r="B1172" t="s">
        <v>4240</v>
      </c>
    </row>
    <row r="1173" spans="1:2" x14ac:dyDescent="0.3">
      <c r="A1173" t="str">
        <f>"3172227-4"</f>
        <v>3172227-4</v>
      </c>
      <c r="B1173" t="s">
        <v>323</v>
      </c>
    </row>
    <row r="1174" spans="1:2" x14ac:dyDescent="0.3">
      <c r="A1174" t="str">
        <f>"31-7772-3"</f>
        <v>31-7772-3</v>
      </c>
      <c r="B1174" t="s">
        <v>11</v>
      </c>
    </row>
    <row r="1175" spans="1:2" x14ac:dyDescent="0.3">
      <c r="A1175" t="str">
        <f>"31-7772-3SMI"</f>
        <v>31-7772-3SMI</v>
      </c>
      <c r="B1175" t="s">
        <v>4472</v>
      </c>
    </row>
    <row r="1176" spans="1:2" x14ac:dyDescent="0.3">
      <c r="A1176" t="str">
        <f>"3178192-1"</f>
        <v>3178192-1</v>
      </c>
      <c r="B1176" t="s">
        <v>153</v>
      </c>
    </row>
    <row r="1177" spans="1:2" x14ac:dyDescent="0.3">
      <c r="A1177" t="str">
        <f>"3179359-1"</f>
        <v>3179359-1</v>
      </c>
      <c r="B1177" t="s">
        <v>18</v>
      </c>
    </row>
    <row r="1178" spans="1:2" x14ac:dyDescent="0.3">
      <c r="A1178" t="str">
        <f>"31-8138-1"</f>
        <v>31-8138-1</v>
      </c>
      <c r="B1178" t="s">
        <v>166</v>
      </c>
    </row>
    <row r="1179" spans="1:2" x14ac:dyDescent="0.3">
      <c r="A1179" t="str">
        <f>"31-8243-1"</f>
        <v>31-8243-1</v>
      </c>
      <c r="B1179" t="s">
        <v>11</v>
      </c>
    </row>
    <row r="1180" spans="1:2" x14ac:dyDescent="0.3">
      <c r="A1180" t="str">
        <f>"3182467-1"</f>
        <v>3182467-1</v>
      </c>
      <c r="B1180" t="s">
        <v>184</v>
      </c>
    </row>
    <row r="1181" spans="1:2" x14ac:dyDescent="0.3">
      <c r="A1181" t="str">
        <f>"31-8300-1"</f>
        <v>31-8300-1</v>
      </c>
      <c r="B1181" t="s">
        <v>489</v>
      </c>
    </row>
    <row r="1182" spans="1:2" x14ac:dyDescent="0.3">
      <c r="A1182" t="str">
        <f>"31-8321-1"</f>
        <v>31-8321-1</v>
      </c>
      <c r="B1182" t="s">
        <v>11</v>
      </c>
    </row>
    <row r="1183" spans="1:2" x14ac:dyDescent="0.3">
      <c r="A1183" t="str">
        <f>"318-630-1001-013"</f>
        <v>318-630-1001-013</v>
      </c>
      <c r="B1183" t="s">
        <v>2923</v>
      </c>
    </row>
    <row r="1184" spans="1:2" x14ac:dyDescent="0.3">
      <c r="A1184" t="str">
        <f>"318-630-1001-018"</f>
        <v>318-630-1001-018</v>
      </c>
      <c r="B1184" t="s">
        <v>786</v>
      </c>
    </row>
    <row r="1185" spans="1:2" x14ac:dyDescent="0.3">
      <c r="A1185" t="str">
        <f>"318-630-1001-053"</f>
        <v>318-630-1001-053</v>
      </c>
      <c r="B1185" t="s">
        <v>1550</v>
      </c>
    </row>
    <row r="1186" spans="1:2" x14ac:dyDescent="0.3">
      <c r="A1186" t="str">
        <f>"318-630-1001-273"</f>
        <v>318-630-1001-273</v>
      </c>
      <c r="B1186" t="s">
        <v>2923</v>
      </c>
    </row>
    <row r="1187" spans="1:2" x14ac:dyDescent="0.3">
      <c r="A1187" t="str">
        <f>"318-630-1001-277"</f>
        <v>318-630-1001-277</v>
      </c>
      <c r="B1187" t="s">
        <v>2480</v>
      </c>
    </row>
    <row r="1188" spans="1:2" x14ac:dyDescent="0.3">
      <c r="A1188" t="str">
        <f>"31-9326-1"</f>
        <v>31-9326-1</v>
      </c>
      <c r="B1188" t="s">
        <v>3905</v>
      </c>
    </row>
    <row r="1189" spans="1:2" x14ac:dyDescent="0.3">
      <c r="A1189" t="str">
        <f>"31AT45"</f>
        <v>31AT45</v>
      </c>
      <c r="B1189" t="s">
        <v>13</v>
      </c>
    </row>
    <row r="1190" spans="1:2" x14ac:dyDescent="0.3">
      <c r="A1190" t="str">
        <f>"31B22105"</f>
        <v>31B22105</v>
      </c>
      <c r="B1190" t="s">
        <v>830</v>
      </c>
    </row>
    <row r="1191" spans="1:2" x14ac:dyDescent="0.3">
      <c r="A1191" t="str">
        <f>"31B3211-01"</f>
        <v>31B3211-01</v>
      </c>
      <c r="B1191" t="s">
        <v>3690</v>
      </c>
    </row>
    <row r="1192" spans="1:2" x14ac:dyDescent="0.3">
      <c r="A1192" t="str">
        <f>"31B3672-01"</f>
        <v>31B3672-01</v>
      </c>
      <c r="B1192" t="s">
        <v>3693</v>
      </c>
    </row>
    <row r="1193" spans="1:2" x14ac:dyDescent="0.3">
      <c r="A1193" t="str">
        <f>"31B3702-01"</f>
        <v>31B3702-01</v>
      </c>
      <c r="B1193" t="s">
        <v>3687</v>
      </c>
    </row>
    <row r="1194" spans="1:2" x14ac:dyDescent="0.3">
      <c r="A1194" t="str">
        <f>"31B5168-01"</f>
        <v>31B5168-01</v>
      </c>
      <c r="B1194" t="s">
        <v>3691</v>
      </c>
    </row>
    <row r="1195" spans="1:2" x14ac:dyDescent="0.3">
      <c r="A1195" t="str">
        <f>"31C12"</f>
        <v>31C12</v>
      </c>
      <c r="B1195" t="s">
        <v>1346</v>
      </c>
    </row>
    <row r="1196" spans="1:2" x14ac:dyDescent="0.3">
      <c r="A1196" t="str">
        <f>"320-094-001-0"</f>
        <v>320-094-001-0</v>
      </c>
      <c r="B1196" t="s">
        <v>511</v>
      </c>
    </row>
    <row r="1197" spans="1:2" x14ac:dyDescent="0.3">
      <c r="A1197" t="str">
        <f>"32102E0072D180"</f>
        <v>32102E0072D180</v>
      </c>
      <c r="B1197" t="s">
        <v>897</v>
      </c>
    </row>
    <row r="1198" spans="1:2" x14ac:dyDescent="0.3">
      <c r="A1198" t="str">
        <f>"32102E0104D180"</f>
        <v>32102E0104D180</v>
      </c>
      <c r="B1198" t="s">
        <v>897</v>
      </c>
    </row>
    <row r="1199" spans="1:2" x14ac:dyDescent="0.3">
      <c r="A1199" t="str">
        <f>"321240"</f>
        <v>321240</v>
      </c>
      <c r="B1199" t="s">
        <v>1856</v>
      </c>
    </row>
    <row r="1200" spans="1:2" x14ac:dyDescent="0.3">
      <c r="A1200" t="str">
        <f>"3214-31"</f>
        <v>3214-31</v>
      </c>
      <c r="B1200" t="s">
        <v>2142</v>
      </c>
    </row>
    <row r="1201" spans="1:2" x14ac:dyDescent="0.3">
      <c r="A1201" t="str">
        <f>"321448-4"</f>
        <v>321448-4</v>
      </c>
      <c r="B1201" t="s">
        <v>3543</v>
      </c>
    </row>
    <row r="1202" spans="1:2" x14ac:dyDescent="0.3">
      <c r="A1202" t="str">
        <f>"321448-5"</f>
        <v>321448-5</v>
      </c>
      <c r="B1202" t="s">
        <v>3543</v>
      </c>
    </row>
    <row r="1203" spans="1:2" x14ac:dyDescent="0.3">
      <c r="A1203" t="str">
        <f>"32178-7"</f>
        <v>32178-7</v>
      </c>
      <c r="B1203" t="s">
        <v>2302</v>
      </c>
    </row>
    <row r="1204" spans="1:2" x14ac:dyDescent="0.3">
      <c r="A1204" t="str">
        <f>"322338"</f>
        <v>322338</v>
      </c>
      <c r="B1204" t="s">
        <v>1554</v>
      </c>
    </row>
    <row r="1205" spans="1:2" x14ac:dyDescent="0.3">
      <c r="A1205" t="str">
        <f>"32480-001"</f>
        <v>32480-001</v>
      </c>
      <c r="B1205" t="s">
        <v>4254</v>
      </c>
    </row>
    <row r="1206" spans="1:2" x14ac:dyDescent="0.3">
      <c r="A1206" t="str">
        <f>"32503-1"</f>
        <v>32503-1</v>
      </c>
      <c r="B1206" t="s">
        <v>4405</v>
      </c>
    </row>
    <row r="1207" spans="1:2" x14ac:dyDescent="0.3">
      <c r="A1207" t="str">
        <f>"32583"</f>
        <v>32583</v>
      </c>
      <c r="B1207" t="s">
        <v>366</v>
      </c>
    </row>
    <row r="1208" spans="1:2" x14ac:dyDescent="0.3">
      <c r="A1208" t="str">
        <f>"32593-1"</f>
        <v>32593-1</v>
      </c>
      <c r="B1208" t="s">
        <v>4336</v>
      </c>
    </row>
    <row r="1209" spans="1:2" x14ac:dyDescent="0.3">
      <c r="A1209" t="str">
        <f>"32594-1"</f>
        <v>32594-1</v>
      </c>
      <c r="B1209" t="s">
        <v>129</v>
      </c>
    </row>
    <row r="1210" spans="1:2" x14ac:dyDescent="0.3">
      <c r="A1210" t="str">
        <f>"32595-1"</f>
        <v>32595-1</v>
      </c>
      <c r="B1210" t="s">
        <v>353</v>
      </c>
    </row>
    <row r="1211" spans="1:2" x14ac:dyDescent="0.3">
      <c r="A1211" t="str">
        <f>"325962"</f>
        <v>325962</v>
      </c>
      <c r="B1211" t="s">
        <v>3642</v>
      </c>
    </row>
    <row r="1212" spans="1:2" x14ac:dyDescent="0.3">
      <c r="A1212" t="str">
        <f>"327"</f>
        <v>327</v>
      </c>
      <c r="B1212" t="s">
        <v>11</v>
      </c>
    </row>
    <row r="1213" spans="1:2" x14ac:dyDescent="0.3">
      <c r="A1213" t="str">
        <f>"327 (GE)"</f>
        <v>327 (GE)</v>
      </c>
      <c r="B1213" t="s">
        <v>4345</v>
      </c>
    </row>
    <row r="1214" spans="1:2" x14ac:dyDescent="0.3">
      <c r="A1214" t="str">
        <f>"32802-1"</f>
        <v>32802-1</v>
      </c>
      <c r="B1214" t="s">
        <v>2304</v>
      </c>
    </row>
    <row r="1215" spans="1:2" x14ac:dyDescent="0.3">
      <c r="A1215" t="str">
        <f>"3289562-5"</f>
        <v>3289562-5</v>
      </c>
      <c r="B1215" t="s">
        <v>492</v>
      </c>
    </row>
    <row r="1216" spans="1:2" x14ac:dyDescent="0.3">
      <c r="A1216" t="str">
        <f>"32900005"</f>
        <v>32900005</v>
      </c>
      <c r="B1216" t="s">
        <v>867</v>
      </c>
    </row>
    <row r="1217" spans="1:2" x14ac:dyDescent="0.3">
      <c r="A1217" t="str">
        <f>"3290662-1"</f>
        <v>3290662-1</v>
      </c>
    </row>
    <row r="1218" spans="1:2" x14ac:dyDescent="0.3">
      <c r="A1218" t="str">
        <f>"32DKWUE006F0126"</f>
        <v>32DKWUE006F0126</v>
      </c>
      <c r="B1218" t="s">
        <v>2319</v>
      </c>
    </row>
    <row r="1219" spans="1:2" x14ac:dyDescent="0.3">
      <c r="A1219" t="str">
        <f>"33-03-00010"</f>
        <v>33-03-00010</v>
      </c>
      <c r="B1219" t="s">
        <v>4106</v>
      </c>
    </row>
    <row r="1220" spans="1:2" x14ac:dyDescent="0.3">
      <c r="A1220" t="str">
        <f>"332A1034-39"</f>
        <v>332A1034-39</v>
      </c>
      <c r="B1220" t="s">
        <v>3752</v>
      </c>
    </row>
    <row r="1221" spans="1:2" x14ac:dyDescent="0.3">
      <c r="A1221" t="str">
        <f>"332T3323-2"</f>
        <v>332T3323-2</v>
      </c>
      <c r="B1221" t="s">
        <v>336</v>
      </c>
    </row>
    <row r="1222" spans="1:2" x14ac:dyDescent="0.3">
      <c r="A1222" t="str">
        <f>"33-32682-8P5A1H"</f>
        <v>33-32682-8P5A1H</v>
      </c>
      <c r="B1222" t="s">
        <v>406</v>
      </c>
    </row>
    <row r="1223" spans="1:2" x14ac:dyDescent="0.3">
      <c r="A1223" t="str">
        <f>"33352"</f>
        <v>33352</v>
      </c>
      <c r="B1223" t="s">
        <v>3714</v>
      </c>
    </row>
    <row r="1224" spans="1:2" x14ac:dyDescent="0.3">
      <c r="A1224" t="str">
        <f>"334075"</f>
        <v>334075</v>
      </c>
    </row>
    <row r="1225" spans="1:2" x14ac:dyDescent="0.3">
      <c r="A1225" t="str">
        <f>"33410FFAB125-4"</f>
        <v>33410FFAB125-4</v>
      </c>
      <c r="B1225" t="s">
        <v>1319</v>
      </c>
    </row>
    <row r="1226" spans="1:2" x14ac:dyDescent="0.3">
      <c r="A1226" t="str">
        <f>"33410LH-125-4"</f>
        <v>33410LH-125-4</v>
      </c>
      <c r="B1226" t="s">
        <v>2917</v>
      </c>
    </row>
    <row r="1227" spans="1:2" x14ac:dyDescent="0.3">
      <c r="A1227" t="str">
        <f>"335"</f>
        <v>335</v>
      </c>
      <c r="B1227" t="s">
        <v>11</v>
      </c>
    </row>
    <row r="1228" spans="1:2" x14ac:dyDescent="0.3">
      <c r="A1228" t="str">
        <f>"335-011-103-0"</f>
        <v>335-011-103-0</v>
      </c>
      <c r="B1228" t="s">
        <v>132</v>
      </c>
    </row>
    <row r="1229" spans="1:2" x14ac:dyDescent="0.3">
      <c r="A1229" t="str">
        <f>"335-011-904-0"</f>
        <v>335-011-904-0</v>
      </c>
      <c r="B1229" t="s">
        <v>490</v>
      </c>
    </row>
    <row r="1230" spans="1:2" x14ac:dyDescent="0.3">
      <c r="A1230" t="str">
        <f>"335-018-403-0"</f>
        <v>335-018-403-0</v>
      </c>
    </row>
    <row r="1231" spans="1:2" x14ac:dyDescent="0.3">
      <c r="A1231" t="str">
        <f>"335-299-401-0"</f>
        <v>335-299-401-0</v>
      </c>
      <c r="B1231" t="s">
        <v>590</v>
      </c>
    </row>
    <row r="1232" spans="1:2" x14ac:dyDescent="0.3">
      <c r="A1232" t="str">
        <f>"335-310-707-0"</f>
        <v>335-310-707-0</v>
      </c>
      <c r="B1232" t="s">
        <v>132</v>
      </c>
    </row>
    <row r="1233" spans="1:2" x14ac:dyDescent="0.3">
      <c r="A1233" t="str">
        <f>"33594"</f>
        <v>33594</v>
      </c>
      <c r="B1233" t="s">
        <v>151</v>
      </c>
    </row>
    <row r="1234" spans="1:2" x14ac:dyDescent="0.3">
      <c r="A1234" t="str">
        <f>"34-00079"</f>
        <v>34-00079</v>
      </c>
      <c r="B1234" t="s">
        <v>4319</v>
      </c>
    </row>
    <row r="1235" spans="1:2" x14ac:dyDescent="0.3">
      <c r="A1235" t="str">
        <f>"340-116-931-0"</f>
        <v>340-116-931-0</v>
      </c>
      <c r="B1235" t="s">
        <v>130</v>
      </c>
    </row>
    <row r="1236" spans="1:2" x14ac:dyDescent="0.3">
      <c r="A1236" t="str">
        <f>"340233"</f>
        <v>340233</v>
      </c>
      <c r="B1236" t="s">
        <v>1466</v>
      </c>
    </row>
    <row r="1237" spans="1:2" x14ac:dyDescent="0.3">
      <c r="A1237" t="str">
        <f>"34-0428020-65"</f>
        <v>34-0428020-65</v>
      </c>
      <c r="B1237" t="s">
        <v>11</v>
      </c>
    </row>
    <row r="1238" spans="1:2" x14ac:dyDescent="0.3">
      <c r="A1238" t="str">
        <f>"34-0428070-64"</f>
        <v>34-0428070-64</v>
      </c>
      <c r="B1238" t="s">
        <v>11</v>
      </c>
    </row>
    <row r="1239" spans="1:2" x14ac:dyDescent="0.3">
      <c r="A1239" t="str">
        <f>"341-0230"</f>
        <v>341-0230</v>
      </c>
      <c r="B1239" t="s">
        <v>2946</v>
      </c>
    </row>
    <row r="1240" spans="1:2" x14ac:dyDescent="0.3">
      <c r="A1240" t="str">
        <f>"341-17"</f>
        <v>341-17</v>
      </c>
      <c r="B1240" t="s">
        <v>381</v>
      </c>
    </row>
    <row r="1241" spans="1:2" x14ac:dyDescent="0.3">
      <c r="A1241" t="str">
        <f>"341-20"</f>
        <v>341-20</v>
      </c>
      <c r="B1241" t="s">
        <v>2945</v>
      </c>
    </row>
    <row r="1242" spans="1:2" x14ac:dyDescent="0.3">
      <c r="A1242" t="str">
        <f>"341-61"</f>
        <v>341-61</v>
      </c>
      <c r="B1242" t="s">
        <v>2944</v>
      </c>
    </row>
    <row r="1243" spans="1:2" x14ac:dyDescent="0.3">
      <c r="A1243" t="str">
        <f>"341-9"</f>
        <v>341-9</v>
      </c>
      <c r="B1243" t="s">
        <v>1355</v>
      </c>
    </row>
    <row r="1244" spans="1:2" x14ac:dyDescent="0.3">
      <c r="A1244" t="str">
        <f>"342-040"</f>
        <v>342-040</v>
      </c>
      <c r="B1244" t="s">
        <v>2946</v>
      </c>
    </row>
    <row r="1245" spans="1:2" x14ac:dyDescent="0.3">
      <c r="A1245" t="str">
        <f>"342-080"</f>
        <v>342-080</v>
      </c>
      <c r="B1245" t="s">
        <v>2946</v>
      </c>
    </row>
    <row r="1246" spans="1:2" x14ac:dyDescent="0.3">
      <c r="A1246" t="str">
        <f>"34265-8"</f>
        <v>34265-8</v>
      </c>
      <c r="B1246" t="s">
        <v>1550</v>
      </c>
    </row>
    <row r="1247" spans="1:2" x14ac:dyDescent="0.3">
      <c r="A1247" t="str">
        <f>"3455RM2-251"</f>
        <v>3455RM2-251</v>
      </c>
      <c r="B1247" t="s">
        <v>264</v>
      </c>
    </row>
    <row r="1248" spans="1:2" x14ac:dyDescent="0.3">
      <c r="A1248" t="str">
        <f>"346A2003-1"</f>
        <v>346A2003-1</v>
      </c>
      <c r="B1248" t="s">
        <v>336</v>
      </c>
    </row>
    <row r="1249" spans="1:2" x14ac:dyDescent="0.3">
      <c r="A1249" t="str">
        <f>"3502075-1"</f>
        <v>3502075-1</v>
      </c>
      <c r="B1249" t="s">
        <v>1234</v>
      </c>
    </row>
    <row r="1250" spans="1:2" x14ac:dyDescent="0.3">
      <c r="A1250" t="str">
        <f>"350-3-0185"</f>
        <v>350-3-0185</v>
      </c>
      <c r="B1250" t="s">
        <v>1168</v>
      </c>
    </row>
    <row r="1251" spans="1:2" x14ac:dyDescent="0.3">
      <c r="A1251" t="str">
        <f>"350-4-0125"</f>
        <v>350-4-0125</v>
      </c>
      <c r="B1251" t="s">
        <v>893</v>
      </c>
    </row>
    <row r="1252" spans="1:2" x14ac:dyDescent="0.3">
      <c r="A1252" t="str">
        <f>"350-4-0152"</f>
        <v>350-4-0152</v>
      </c>
      <c r="B1252" t="s">
        <v>897</v>
      </c>
    </row>
    <row r="1253" spans="1:2" x14ac:dyDescent="0.3">
      <c r="A1253" t="str">
        <f>"350-4-0226"</f>
        <v>350-4-0226</v>
      </c>
      <c r="B1253" t="s">
        <v>893</v>
      </c>
    </row>
    <row r="1254" spans="1:2" x14ac:dyDescent="0.3">
      <c r="A1254" t="str">
        <f>"35060-001"</f>
        <v>35060-001</v>
      </c>
    </row>
    <row r="1255" spans="1:2" x14ac:dyDescent="0.3">
      <c r="A1255" t="str">
        <f>"35060-002"</f>
        <v>35060-002</v>
      </c>
      <c r="B1255" t="s">
        <v>508</v>
      </c>
    </row>
    <row r="1256" spans="1:2" x14ac:dyDescent="0.3">
      <c r="A1256" t="str">
        <f>"35060-003"</f>
        <v>35060-003</v>
      </c>
      <c r="B1256" t="s">
        <v>508</v>
      </c>
    </row>
    <row r="1257" spans="1:2" x14ac:dyDescent="0.3">
      <c r="A1257" t="str">
        <f>"3509-1"</f>
        <v>3509-1</v>
      </c>
      <c r="B1257" t="s">
        <v>336</v>
      </c>
    </row>
    <row r="1258" spans="1:2" x14ac:dyDescent="0.3">
      <c r="A1258" t="str">
        <f>"35093-001"</f>
        <v>35093-001</v>
      </c>
    </row>
    <row r="1259" spans="1:2" x14ac:dyDescent="0.3">
      <c r="A1259" t="str">
        <f>"35094-001"</f>
        <v>35094-001</v>
      </c>
    </row>
    <row r="1260" spans="1:2" x14ac:dyDescent="0.3">
      <c r="A1260" t="str">
        <f>"350A51-2005-20"</f>
        <v>350A51-2005-20</v>
      </c>
      <c r="B1260" t="s">
        <v>2572</v>
      </c>
    </row>
    <row r="1261" spans="1:2" x14ac:dyDescent="0.3">
      <c r="A1261" t="str">
        <f>"350K02-1"</f>
        <v>350K02-1</v>
      </c>
      <c r="B1261" t="s">
        <v>4005</v>
      </c>
    </row>
    <row r="1262" spans="1:2" x14ac:dyDescent="0.3">
      <c r="A1262" t="str">
        <f>"351-6382-020"</f>
        <v>351-6382-020</v>
      </c>
      <c r="B1262" t="s">
        <v>3566</v>
      </c>
    </row>
    <row r="1263" spans="1:2" x14ac:dyDescent="0.3">
      <c r="A1263" t="str">
        <f>"351784"</f>
        <v>351784</v>
      </c>
      <c r="B1263" t="s">
        <v>119</v>
      </c>
    </row>
    <row r="1264" spans="1:2" x14ac:dyDescent="0.3">
      <c r="A1264" t="str">
        <f>"351-8226-040"</f>
        <v>351-8226-040</v>
      </c>
      <c r="B1264" t="s">
        <v>460</v>
      </c>
    </row>
    <row r="1265" spans="1:2" x14ac:dyDescent="0.3">
      <c r="A1265" t="str">
        <f>"3520-0560-07"</f>
        <v>3520-0560-07</v>
      </c>
      <c r="B1265" t="s">
        <v>4014</v>
      </c>
    </row>
    <row r="1266" spans="1:2" x14ac:dyDescent="0.3">
      <c r="A1266" t="str">
        <f>"352-0983-1"</f>
        <v>352-0983-1</v>
      </c>
      <c r="B1266" t="s">
        <v>502</v>
      </c>
    </row>
    <row r="1267" spans="1:2" x14ac:dyDescent="0.3">
      <c r="A1267" t="str">
        <f>"3525-0019-01"</f>
        <v>3525-0019-01</v>
      </c>
      <c r="B1267" t="s">
        <v>492</v>
      </c>
    </row>
    <row r="1268" spans="1:2" x14ac:dyDescent="0.3">
      <c r="A1268" t="str">
        <f>"3530-0050-17"</f>
        <v>3530-0050-17</v>
      </c>
      <c r="B1268" t="s">
        <v>122</v>
      </c>
    </row>
    <row r="1269" spans="1:2" x14ac:dyDescent="0.3">
      <c r="A1269" t="str">
        <f>"3530-0305-01"</f>
        <v>3530-0305-01</v>
      </c>
      <c r="B1269" t="s">
        <v>4043</v>
      </c>
    </row>
    <row r="1270" spans="1:2" x14ac:dyDescent="0.3">
      <c r="A1270" t="str">
        <f>"353-3718-040"</f>
        <v>353-3718-040</v>
      </c>
      <c r="B1270" t="s">
        <v>475</v>
      </c>
    </row>
    <row r="1271" spans="1:2" x14ac:dyDescent="0.3">
      <c r="A1271" t="str">
        <f>"353760"</f>
        <v>353760</v>
      </c>
      <c r="B1271" t="s">
        <v>119</v>
      </c>
    </row>
    <row r="1272" spans="1:2" x14ac:dyDescent="0.3">
      <c r="A1272" t="str">
        <f>"35560-4-310"</f>
        <v>35560-4-310</v>
      </c>
      <c r="B1272" t="s">
        <v>885</v>
      </c>
    </row>
    <row r="1273" spans="1:2" x14ac:dyDescent="0.3">
      <c r="A1273" t="str">
        <f>"35563-2-255"</f>
        <v>35563-2-255</v>
      </c>
      <c r="B1273" t="s">
        <v>2866</v>
      </c>
    </row>
    <row r="1274" spans="1:2" x14ac:dyDescent="0.3">
      <c r="A1274" t="str">
        <f>"356"</f>
        <v>356</v>
      </c>
      <c r="B1274" t="s">
        <v>11</v>
      </c>
    </row>
    <row r="1275" spans="1:2" x14ac:dyDescent="0.3">
      <c r="A1275" t="str">
        <f>"35610-4-400"</f>
        <v>35610-4-400</v>
      </c>
      <c r="B1275" t="s">
        <v>1906</v>
      </c>
    </row>
    <row r="1276" spans="1:2" x14ac:dyDescent="0.3">
      <c r="A1276" t="str">
        <f>"35653"</f>
        <v>35653</v>
      </c>
      <c r="B1276" t="s">
        <v>2637</v>
      </c>
    </row>
    <row r="1277" spans="1:2" x14ac:dyDescent="0.3">
      <c r="A1277" t="str">
        <f>"35744-001"</f>
        <v>35744-001</v>
      </c>
      <c r="B1277" t="s">
        <v>128</v>
      </c>
    </row>
    <row r="1278" spans="1:2" x14ac:dyDescent="0.3">
      <c r="A1278" t="str">
        <f>"3575-0650-01"</f>
        <v>3575-0650-01</v>
      </c>
      <c r="B1278" t="s">
        <v>1267</v>
      </c>
    </row>
    <row r="1279" spans="1:2" x14ac:dyDescent="0.3">
      <c r="A1279" t="str">
        <f>"358472-1"</f>
        <v>358472-1</v>
      </c>
    </row>
    <row r="1280" spans="1:2" x14ac:dyDescent="0.3">
      <c r="A1280" t="str">
        <f>"3591-3CN0190"</f>
        <v>3591-3CN0190</v>
      </c>
      <c r="B1280" t="s">
        <v>2016</v>
      </c>
    </row>
    <row r="1281" spans="1:2" x14ac:dyDescent="0.3">
      <c r="A1281" t="str">
        <f>"35-930-126"</f>
        <v>35-930-126</v>
      </c>
      <c r="B1281" t="s">
        <v>2141</v>
      </c>
    </row>
    <row r="1282" spans="1:2" x14ac:dyDescent="0.3">
      <c r="A1282" t="str">
        <f>"35C0714-01"</f>
        <v>35C0714-01</v>
      </c>
      <c r="B1282" t="s">
        <v>1867</v>
      </c>
    </row>
    <row r="1283" spans="1:2" x14ac:dyDescent="0.3">
      <c r="A1283" t="str">
        <f>"35C0844-01"</f>
        <v>35C0844-01</v>
      </c>
      <c r="B1283" t="s">
        <v>2746</v>
      </c>
    </row>
    <row r="1284" spans="1:2" x14ac:dyDescent="0.3">
      <c r="A1284" t="str">
        <f>"35C0938-01"</f>
        <v>35C0938-01</v>
      </c>
      <c r="B1284" t="s">
        <v>336</v>
      </c>
    </row>
    <row r="1285" spans="1:2" x14ac:dyDescent="0.3">
      <c r="A1285" t="str">
        <f>"35C1022-01"</f>
        <v>35C1022-01</v>
      </c>
      <c r="B1285" t="s">
        <v>132</v>
      </c>
    </row>
    <row r="1286" spans="1:2" x14ac:dyDescent="0.3">
      <c r="A1286" t="str">
        <f>"35C1355-01"</f>
        <v>35C1355-01</v>
      </c>
      <c r="B1286" t="s">
        <v>1867</v>
      </c>
    </row>
    <row r="1287" spans="1:2" x14ac:dyDescent="0.3">
      <c r="A1287" t="str">
        <f>"35C1686-01"</f>
        <v>35C1686-01</v>
      </c>
      <c r="B1287" t="s">
        <v>336</v>
      </c>
    </row>
    <row r="1288" spans="1:2" x14ac:dyDescent="0.3">
      <c r="A1288" t="str">
        <f>"35C1818-01"</f>
        <v>35C1818-01</v>
      </c>
      <c r="B1288" t="s">
        <v>128</v>
      </c>
    </row>
    <row r="1289" spans="1:2" x14ac:dyDescent="0.3">
      <c r="A1289" t="str">
        <f>"35C2353-02"</f>
        <v>35C2353-02</v>
      </c>
      <c r="B1289" t="s">
        <v>566</v>
      </c>
    </row>
    <row r="1290" spans="1:2" x14ac:dyDescent="0.3">
      <c r="A1290" t="str">
        <f>"35C2887-01"</f>
        <v>35C2887-01</v>
      </c>
      <c r="B1290" t="s">
        <v>4180</v>
      </c>
    </row>
    <row r="1291" spans="1:2" x14ac:dyDescent="0.3">
      <c r="A1291" t="str">
        <f>"35C4081-01"</f>
        <v>35C4081-01</v>
      </c>
      <c r="B1291" t="s">
        <v>2112</v>
      </c>
    </row>
    <row r="1292" spans="1:2" x14ac:dyDescent="0.3">
      <c r="A1292" t="str">
        <f>"35C5472-02"</f>
        <v>35C5472-02</v>
      </c>
      <c r="B1292" t="s">
        <v>1536</v>
      </c>
    </row>
    <row r="1293" spans="1:2" x14ac:dyDescent="0.3">
      <c r="A1293" t="str">
        <f>"3600-5993"</f>
        <v>3600-5993</v>
      </c>
      <c r="B1293" t="s">
        <v>13</v>
      </c>
    </row>
    <row r="1294" spans="1:2" x14ac:dyDescent="0.3">
      <c r="A1294" t="str">
        <f>"3601193-8"</f>
        <v>3601193-8</v>
      </c>
      <c r="B1294" t="s">
        <v>1114</v>
      </c>
    </row>
    <row r="1295" spans="1:2" x14ac:dyDescent="0.3">
      <c r="A1295" t="str">
        <f>"3604524-45"</f>
        <v>3604524-45</v>
      </c>
      <c r="B1295" t="s">
        <v>1742</v>
      </c>
    </row>
    <row r="1296" spans="1:2" x14ac:dyDescent="0.3">
      <c r="A1296" t="str">
        <f>"3605306-1"</f>
        <v>3605306-1</v>
      </c>
      <c r="B1296" t="s">
        <v>184</v>
      </c>
    </row>
    <row r="1297" spans="1:2" x14ac:dyDescent="0.3">
      <c r="A1297" t="str">
        <f>"360A61-2544-37"</f>
        <v>360A61-2544-37</v>
      </c>
      <c r="B1297" t="s">
        <v>340</v>
      </c>
    </row>
    <row r="1298" spans="1:2" x14ac:dyDescent="0.3">
      <c r="A1298" t="str">
        <f>"360A61-2544-38"</f>
        <v>360A61-2544-38</v>
      </c>
      <c r="B1298" t="s">
        <v>339</v>
      </c>
    </row>
    <row r="1299" spans="1:2" x14ac:dyDescent="0.3">
      <c r="A1299" t="str">
        <f>"360A61-2544-59"</f>
        <v>360A61-2544-59</v>
      </c>
      <c r="B1299" t="s">
        <v>339</v>
      </c>
    </row>
    <row r="1300" spans="1:2" x14ac:dyDescent="0.3">
      <c r="A1300" t="str">
        <f>"360A61-2544-67"</f>
        <v>360A61-2544-67</v>
      </c>
      <c r="B1300" t="s">
        <v>339</v>
      </c>
    </row>
    <row r="1301" spans="1:2" x14ac:dyDescent="0.3">
      <c r="A1301" t="str">
        <f>"3612125-1"</f>
        <v>3612125-1</v>
      </c>
      <c r="B1301" t="s">
        <v>336</v>
      </c>
    </row>
    <row r="1302" spans="1:2" x14ac:dyDescent="0.3">
      <c r="A1302" t="str">
        <f>"3612170-2"</f>
        <v>3612170-2</v>
      </c>
      <c r="B1302" t="s">
        <v>336</v>
      </c>
    </row>
    <row r="1303" spans="1:2" x14ac:dyDescent="0.3">
      <c r="A1303" t="str">
        <f>"3614868-1"</f>
        <v>3614868-1</v>
      </c>
      <c r="B1303" t="s">
        <v>336</v>
      </c>
    </row>
    <row r="1304" spans="1:2" x14ac:dyDescent="0.3">
      <c r="A1304" t="str">
        <f>"3625"</f>
        <v>3625</v>
      </c>
      <c r="B1304" t="s">
        <v>3924</v>
      </c>
    </row>
    <row r="1305" spans="1:2" x14ac:dyDescent="0.3">
      <c r="A1305" t="str">
        <f>"362-509-9002"</f>
        <v>362-509-9002</v>
      </c>
      <c r="B1305" t="s">
        <v>4152</v>
      </c>
    </row>
    <row r="1306" spans="1:2" x14ac:dyDescent="0.3">
      <c r="A1306" t="str">
        <f>"362-600-9101"</f>
        <v>362-600-9101</v>
      </c>
      <c r="B1306" t="s">
        <v>336</v>
      </c>
    </row>
    <row r="1307" spans="1:2" x14ac:dyDescent="0.3">
      <c r="A1307" t="str">
        <f>"36262-4"</f>
        <v>36262-4</v>
      </c>
      <c r="B1307" t="s">
        <v>11</v>
      </c>
    </row>
    <row r="1308" spans="1:2" x14ac:dyDescent="0.3">
      <c r="A1308" t="str">
        <f>"362A5835P1"</f>
        <v>362A5835P1</v>
      </c>
      <c r="B1308" t="s">
        <v>635</v>
      </c>
    </row>
    <row r="1309" spans="1:2" x14ac:dyDescent="0.3">
      <c r="A1309" t="str">
        <f>"362A5835P2"</f>
        <v>362A5835P2</v>
      </c>
      <c r="B1309" t="s">
        <v>635</v>
      </c>
    </row>
    <row r="1310" spans="1:2" x14ac:dyDescent="0.3">
      <c r="A1310" t="str">
        <f>"362A7004P1"</f>
        <v>362A7004P1</v>
      </c>
      <c r="B1310" t="s">
        <v>3109</v>
      </c>
    </row>
    <row r="1311" spans="1:2" x14ac:dyDescent="0.3">
      <c r="A1311" t="str">
        <f>"362A8199P1"</f>
        <v>362A8199P1</v>
      </c>
      <c r="B1311" t="s">
        <v>3453</v>
      </c>
    </row>
    <row r="1312" spans="1:2" x14ac:dyDescent="0.3">
      <c r="A1312" t="str">
        <f>"3632"</f>
        <v>3632</v>
      </c>
      <c r="B1312" t="s">
        <v>2746</v>
      </c>
    </row>
    <row r="1313" spans="1:2" x14ac:dyDescent="0.3">
      <c r="A1313" t="str">
        <f>"36395-001"</f>
        <v>36395-001</v>
      </c>
    </row>
    <row r="1314" spans="1:2" x14ac:dyDescent="0.3">
      <c r="A1314" t="str">
        <f>"363A2243P1"</f>
        <v>363A2243P1</v>
      </c>
      <c r="B1314" t="s">
        <v>3657</v>
      </c>
    </row>
    <row r="1315" spans="1:2" x14ac:dyDescent="0.3">
      <c r="A1315" t="str">
        <f>"363A2462G2"</f>
        <v>363A2462G2</v>
      </c>
      <c r="B1315" t="s">
        <v>3453</v>
      </c>
    </row>
    <row r="1316" spans="1:2" x14ac:dyDescent="0.3">
      <c r="A1316" t="str">
        <f>"365A84-3001-22"</f>
        <v>365A84-3001-22</v>
      </c>
      <c r="B1316" t="s">
        <v>353</v>
      </c>
    </row>
    <row r="1317" spans="1:2" x14ac:dyDescent="0.3">
      <c r="A1317" t="str">
        <f>"365A84-3007-1801"</f>
        <v>365A84-3007-1801</v>
      </c>
      <c r="B1317" t="s">
        <v>1521</v>
      </c>
    </row>
    <row r="1318" spans="1:2" x14ac:dyDescent="0.3">
      <c r="A1318" t="str">
        <f>"365A84-3007-1901"</f>
        <v>365A84-3007-1901</v>
      </c>
      <c r="B1318" t="s">
        <v>1522</v>
      </c>
    </row>
    <row r="1319" spans="1:2" x14ac:dyDescent="0.3">
      <c r="A1319" t="str">
        <f>"365A84-3018-00"</f>
        <v>365A84-3018-00</v>
      </c>
      <c r="B1319" t="s">
        <v>1513</v>
      </c>
    </row>
    <row r="1320" spans="1:2" x14ac:dyDescent="0.3">
      <c r="A1320" t="str">
        <f>"365A84-3018-01"</f>
        <v>365A84-3018-01</v>
      </c>
      <c r="B1320" t="s">
        <v>1514</v>
      </c>
    </row>
    <row r="1321" spans="1:2" x14ac:dyDescent="0.3">
      <c r="A1321" t="str">
        <f>"365A84-3039-21"</f>
        <v>365A84-3039-21</v>
      </c>
      <c r="B1321" t="s">
        <v>366</v>
      </c>
    </row>
    <row r="1322" spans="1:2" x14ac:dyDescent="0.3">
      <c r="A1322" t="str">
        <f>"365A84-3046-22"</f>
        <v>365A84-3046-22</v>
      </c>
      <c r="B1322" t="s">
        <v>1515</v>
      </c>
    </row>
    <row r="1323" spans="1:2" x14ac:dyDescent="0.3">
      <c r="A1323" t="str">
        <f>"365A84-3050-23"</f>
        <v>365A84-3050-23</v>
      </c>
      <c r="B1323" t="s">
        <v>1516</v>
      </c>
    </row>
    <row r="1324" spans="1:2" x14ac:dyDescent="0.3">
      <c r="A1324" t="str">
        <f>"365A84-3053-21"</f>
        <v>365A84-3053-21</v>
      </c>
      <c r="B1324" t="s">
        <v>672</v>
      </c>
    </row>
    <row r="1325" spans="1:2" x14ac:dyDescent="0.3">
      <c r="A1325" t="str">
        <f>"365A84-3065-02"</f>
        <v>365A84-3065-02</v>
      </c>
      <c r="B1325" t="s">
        <v>1517</v>
      </c>
    </row>
    <row r="1326" spans="1:2" x14ac:dyDescent="0.3">
      <c r="A1326" t="str">
        <f>"365A84-3067-07"</f>
        <v>365A84-3067-07</v>
      </c>
      <c r="B1326" t="s">
        <v>1519</v>
      </c>
    </row>
    <row r="1327" spans="1:2" x14ac:dyDescent="0.3">
      <c r="A1327" t="str">
        <f>"365A84-3067-09"</f>
        <v>365A84-3067-09</v>
      </c>
      <c r="B1327" t="s">
        <v>1518</v>
      </c>
    </row>
    <row r="1328" spans="1:2" x14ac:dyDescent="0.3">
      <c r="A1328" t="str">
        <f>"365A84-3156-00"</f>
        <v>365A84-3156-00</v>
      </c>
      <c r="B1328" t="s">
        <v>1520</v>
      </c>
    </row>
    <row r="1329" spans="1:2" x14ac:dyDescent="0.3">
      <c r="A1329" t="str">
        <f>"365A84-3156-01"</f>
        <v>365A84-3156-01</v>
      </c>
      <c r="B1329" t="s">
        <v>1520</v>
      </c>
    </row>
    <row r="1330" spans="1:2" x14ac:dyDescent="0.3">
      <c r="A1330" t="str">
        <f>"369042"</f>
        <v>369042</v>
      </c>
    </row>
    <row r="1331" spans="1:2" x14ac:dyDescent="0.3">
      <c r="A1331" t="str">
        <f>"3695-3"</f>
        <v>3695-3</v>
      </c>
      <c r="B1331" t="s">
        <v>4692</v>
      </c>
    </row>
    <row r="1332" spans="1:2" x14ac:dyDescent="0.3">
      <c r="A1332" t="str">
        <f>"36B19484"</f>
        <v>36B19484</v>
      </c>
      <c r="B1332" t="s">
        <v>1930</v>
      </c>
    </row>
    <row r="1333" spans="1:2" x14ac:dyDescent="0.3">
      <c r="A1333" t="str">
        <f>"370-0016"</f>
        <v>370-0016</v>
      </c>
      <c r="B1333" t="s">
        <v>3735</v>
      </c>
    </row>
    <row r="1334" spans="1:2" x14ac:dyDescent="0.3">
      <c r="A1334" t="str">
        <f>"37604-331"</f>
        <v>37604-331</v>
      </c>
      <c r="B1334" t="s">
        <v>173</v>
      </c>
    </row>
    <row r="1335" spans="1:2" x14ac:dyDescent="0.3">
      <c r="A1335" t="str">
        <f>"378130"</f>
        <v>378130</v>
      </c>
      <c r="B1335" t="s">
        <v>188</v>
      </c>
    </row>
    <row r="1336" spans="1:2" x14ac:dyDescent="0.3">
      <c r="A1336" t="str">
        <f>"378K4"</f>
        <v>378K4</v>
      </c>
      <c r="B1336" t="s">
        <v>220</v>
      </c>
    </row>
    <row r="1337" spans="1:2" x14ac:dyDescent="0.3">
      <c r="A1337" t="str">
        <f>"37951-104"</f>
        <v>37951-104</v>
      </c>
      <c r="B1337" t="s">
        <v>635</v>
      </c>
    </row>
    <row r="1338" spans="1:2" x14ac:dyDescent="0.3">
      <c r="A1338" t="str">
        <f>"38000-245"</f>
        <v>38000-245</v>
      </c>
      <c r="B1338" t="s">
        <v>1234</v>
      </c>
    </row>
    <row r="1339" spans="1:2" x14ac:dyDescent="0.3">
      <c r="A1339" t="str">
        <f>"38000-354"</f>
        <v>38000-354</v>
      </c>
      <c r="B1339" t="s">
        <v>4344</v>
      </c>
    </row>
    <row r="1340" spans="1:2" x14ac:dyDescent="0.3">
      <c r="A1340" t="str">
        <f>"38000-355"</f>
        <v>38000-355</v>
      </c>
      <c r="B1340" t="s">
        <v>4344</v>
      </c>
    </row>
    <row r="1341" spans="1:2" x14ac:dyDescent="0.3">
      <c r="A1341" t="str">
        <f>"38-0230021-00"</f>
        <v>38-0230021-00</v>
      </c>
      <c r="B1341" t="s">
        <v>336</v>
      </c>
    </row>
    <row r="1342" spans="1:2" x14ac:dyDescent="0.3">
      <c r="A1342" t="str">
        <f>"380-58"</f>
        <v>380-58</v>
      </c>
      <c r="B1342" t="s">
        <v>682</v>
      </c>
    </row>
    <row r="1343" spans="1:2" x14ac:dyDescent="0.3">
      <c r="A1343" t="str">
        <f>"382"</f>
        <v>382</v>
      </c>
      <c r="B1343" t="s">
        <v>623</v>
      </c>
    </row>
    <row r="1344" spans="1:2" x14ac:dyDescent="0.3">
      <c r="A1344" t="str">
        <f>"387"</f>
        <v>387</v>
      </c>
      <c r="B1344" t="s">
        <v>623</v>
      </c>
    </row>
    <row r="1345" spans="1:2" x14ac:dyDescent="0.3">
      <c r="A1345" t="str">
        <f>"387 (OL)"</f>
        <v>387 (OL)</v>
      </c>
      <c r="B1345" t="s">
        <v>623</v>
      </c>
    </row>
    <row r="1346" spans="1:2" x14ac:dyDescent="0.3">
      <c r="A1346" t="str">
        <f>"3876179-1"</f>
        <v>3876179-1</v>
      </c>
      <c r="B1346" t="s">
        <v>336</v>
      </c>
    </row>
    <row r="1347" spans="1:2" x14ac:dyDescent="0.3">
      <c r="A1347" t="str">
        <f>"3876259-4"</f>
        <v>3876259-4</v>
      </c>
      <c r="B1347" t="s">
        <v>869</v>
      </c>
    </row>
    <row r="1348" spans="1:2" x14ac:dyDescent="0.3">
      <c r="A1348" t="str">
        <f>"387AS15"</f>
        <v>387AS15</v>
      </c>
      <c r="B1348" t="s">
        <v>11</v>
      </c>
    </row>
    <row r="1349" spans="1:2" x14ac:dyDescent="0.3">
      <c r="A1349" t="str">
        <f>"3880938-1"</f>
        <v>3880938-1</v>
      </c>
      <c r="B1349" t="s">
        <v>3647</v>
      </c>
    </row>
    <row r="1350" spans="1:2" x14ac:dyDescent="0.3">
      <c r="A1350" t="str">
        <f>"3881052-1"</f>
        <v>3881052-1</v>
      </c>
      <c r="B1350" t="s">
        <v>446</v>
      </c>
    </row>
    <row r="1351" spans="1:2" x14ac:dyDescent="0.3">
      <c r="A1351" t="str">
        <f>"3882440-1"</f>
        <v>3882440-1</v>
      </c>
      <c r="B1351" t="s">
        <v>3686</v>
      </c>
    </row>
    <row r="1352" spans="1:2" x14ac:dyDescent="0.3">
      <c r="A1352" t="str">
        <f>"3882496-1"</f>
        <v>3882496-1</v>
      </c>
      <c r="B1352" t="s">
        <v>635</v>
      </c>
    </row>
    <row r="1353" spans="1:2" x14ac:dyDescent="0.3">
      <c r="A1353" t="str">
        <f>"3888210-1"</f>
        <v>3888210-1</v>
      </c>
      <c r="B1353" t="s">
        <v>18</v>
      </c>
    </row>
    <row r="1354" spans="1:2" x14ac:dyDescent="0.3">
      <c r="A1354" t="str">
        <f>"3891-3CN285"</f>
        <v>3891-3CN285</v>
      </c>
      <c r="B1354" t="s">
        <v>4087</v>
      </c>
    </row>
    <row r="1355" spans="1:2" x14ac:dyDescent="0.3">
      <c r="A1355" t="str">
        <f>"389-21"</f>
        <v>389-21</v>
      </c>
      <c r="B1355" t="s">
        <v>3503</v>
      </c>
    </row>
    <row r="1356" spans="1:2" x14ac:dyDescent="0.3">
      <c r="A1356" t="str">
        <f>"3893-3"</f>
        <v>3893-3</v>
      </c>
      <c r="B1356" t="s">
        <v>4323</v>
      </c>
    </row>
    <row r="1357" spans="1:2" x14ac:dyDescent="0.3">
      <c r="A1357" t="str">
        <f>"3900-5655"</f>
        <v>3900-5655</v>
      </c>
      <c r="B1357" t="s">
        <v>13</v>
      </c>
    </row>
    <row r="1358" spans="1:2" x14ac:dyDescent="0.3">
      <c r="A1358" t="str">
        <f>"3-904C1124-70"</f>
        <v>3-904C1124-70</v>
      </c>
      <c r="B1358" t="s">
        <v>151</v>
      </c>
    </row>
    <row r="1359" spans="1:2" x14ac:dyDescent="0.3">
      <c r="A1359" t="str">
        <f>"3-906C873-70"</f>
        <v>3-906C873-70</v>
      </c>
      <c r="B1359" t="s">
        <v>1691</v>
      </c>
    </row>
    <row r="1360" spans="1:2" x14ac:dyDescent="0.3">
      <c r="A1360" t="str">
        <f>"391S"</f>
        <v>391S</v>
      </c>
      <c r="B1360" t="s">
        <v>1101</v>
      </c>
    </row>
    <row r="1361" spans="1:2" x14ac:dyDescent="0.3">
      <c r="A1361" t="s">
        <v>1472</v>
      </c>
      <c r="B1361" t="s">
        <v>1473</v>
      </c>
    </row>
    <row r="1362" spans="1:2" x14ac:dyDescent="0.3">
      <c r="A1362" t="str">
        <f>"398-12"</f>
        <v>398-12</v>
      </c>
      <c r="B1362" t="s">
        <v>1355</v>
      </c>
    </row>
    <row r="1363" spans="1:2" x14ac:dyDescent="0.3">
      <c r="A1363" t="str">
        <f>"398-13"</f>
        <v>398-13</v>
      </c>
      <c r="B1363" t="s">
        <v>2950</v>
      </c>
    </row>
    <row r="1364" spans="1:2" x14ac:dyDescent="0.3">
      <c r="A1364" t="str">
        <f>"398-16"</f>
        <v>398-16</v>
      </c>
      <c r="B1364" t="s">
        <v>1355</v>
      </c>
    </row>
    <row r="1365" spans="1:2" x14ac:dyDescent="0.3">
      <c r="A1365" t="str">
        <f>"398-19"</f>
        <v>398-19</v>
      </c>
      <c r="B1365" t="s">
        <v>353</v>
      </c>
    </row>
    <row r="1366" spans="1:2" x14ac:dyDescent="0.3">
      <c r="A1366" t="str">
        <f>"398-24"</f>
        <v>398-24</v>
      </c>
      <c r="B1366" t="s">
        <v>2944</v>
      </c>
    </row>
    <row r="1367" spans="1:2" x14ac:dyDescent="0.3">
      <c r="A1367" t="str">
        <f>"398657"</f>
        <v>398657</v>
      </c>
      <c r="B1367" t="s">
        <v>136</v>
      </c>
    </row>
    <row r="1368" spans="1:2" x14ac:dyDescent="0.3">
      <c r="A1368" t="str">
        <f>"39SE9"</f>
        <v>39SE9</v>
      </c>
      <c r="B1368" t="s">
        <v>13</v>
      </c>
    </row>
    <row r="1369" spans="1:2" x14ac:dyDescent="0.3">
      <c r="A1369" t="str">
        <f>"3A026-0349"</f>
        <v>3A026-0349</v>
      </c>
      <c r="B1369" t="s">
        <v>2497</v>
      </c>
    </row>
    <row r="1370" spans="1:2" x14ac:dyDescent="0.3">
      <c r="A1370" t="str">
        <f>"3A058-0101"</f>
        <v>3A058-0101</v>
      </c>
      <c r="B1370" t="s">
        <v>4644</v>
      </c>
    </row>
    <row r="1371" spans="1:2" x14ac:dyDescent="0.3">
      <c r="A1371" t="str">
        <f>"3D2353-06"</f>
        <v>3D2353-06</v>
      </c>
      <c r="B1371" t="s">
        <v>492</v>
      </c>
    </row>
    <row r="1372" spans="1:2" x14ac:dyDescent="0.3">
      <c r="A1372" t="str">
        <f>"3E2534"</f>
        <v>3E2534</v>
      </c>
      <c r="B1372" t="s">
        <v>3871</v>
      </c>
    </row>
    <row r="1373" spans="1:2" x14ac:dyDescent="0.3">
      <c r="A1373" t="str">
        <f>"3M8412"</f>
        <v>3M8412</v>
      </c>
      <c r="B1373" t="s">
        <v>4596</v>
      </c>
    </row>
    <row r="1374" spans="1:2" x14ac:dyDescent="0.3">
      <c r="A1374" t="str">
        <f>"3PB11H58"</f>
        <v>3PB11H58</v>
      </c>
      <c r="B1374" t="s">
        <v>13</v>
      </c>
    </row>
    <row r="1375" spans="1:2" x14ac:dyDescent="0.3">
      <c r="A1375" t="str">
        <f>"3TF3300-OAPO"</f>
        <v>3TF3300-OAPO</v>
      </c>
    </row>
    <row r="1376" spans="1:2" x14ac:dyDescent="0.3">
      <c r="A1376" t="str">
        <f>"400-0011"</f>
        <v>400-0011</v>
      </c>
      <c r="B1376" t="s">
        <v>1281</v>
      </c>
    </row>
    <row r="1377" spans="1:2" x14ac:dyDescent="0.3">
      <c r="A1377" t="str">
        <f>"4000014-002"</f>
        <v>4000014-002</v>
      </c>
      <c r="B1377" t="s">
        <v>2383</v>
      </c>
    </row>
    <row r="1378" spans="1:2" x14ac:dyDescent="0.3">
      <c r="A1378" t="str">
        <f>"4000366-4"</f>
        <v>4000366-4</v>
      </c>
      <c r="B1378" t="s">
        <v>1634</v>
      </c>
    </row>
    <row r="1379" spans="1:2" x14ac:dyDescent="0.3">
      <c r="A1379" t="str">
        <f>"4000504-0301"</f>
        <v>4000504-0301</v>
      </c>
      <c r="B1379" t="s">
        <v>3467</v>
      </c>
    </row>
    <row r="1380" spans="1:2" x14ac:dyDescent="0.3">
      <c r="A1380" t="str">
        <f>"4002N"</f>
        <v>4002N</v>
      </c>
      <c r="B1380" t="s">
        <v>1730</v>
      </c>
    </row>
    <row r="1381" spans="1:2" x14ac:dyDescent="0.3">
      <c r="A1381" t="str">
        <f>"400-4308"</f>
        <v>400-4308</v>
      </c>
      <c r="B1381" t="s">
        <v>102</v>
      </c>
    </row>
    <row r="1382" spans="1:2" x14ac:dyDescent="0.3">
      <c r="A1382" t="str">
        <f>"4004554"</f>
        <v>4004554</v>
      </c>
      <c r="B1382" t="s">
        <v>136</v>
      </c>
    </row>
    <row r="1383" spans="1:2" x14ac:dyDescent="0.3">
      <c r="A1383" t="str">
        <f>"400578"</f>
        <v>400578</v>
      </c>
      <c r="B1383" t="s">
        <v>956</v>
      </c>
    </row>
    <row r="1384" spans="1:2" x14ac:dyDescent="0.3">
      <c r="A1384" t="str">
        <f>"400582"</f>
        <v>400582</v>
      </c>
      <c r="B1384" t="s">
        <v>1355</v>
      </c>
    </row>
    <row r="1385" spans="1:2" x14ac:dyDescent="0.3">
      <c r="A1385" t="str">
        <f>"400-6"</f>
        <v>400-6</v>
      </c>
      <c r="B1385" t="s">
        <v>1225</v>
      </c>
    </row>
    <row r="1386" spans="1:2" x14ac:dyDescent="0.3">
      <c r="A1386" t="str">
        <f>"400-9"</f>
        <v>400-9</v>
      </c>
      <c r="B1386" t="s">
        <v>1688</v>
      </c>
    </row>
    <row r="1387" spans="1:2" x14ac:dyDescent="0.3">
      <c r="A1387" t="str">
        <f>"4009400960"</f>
        <v>4009400960</v>
      </c>
      <c r="B1387" t="s">
        <v>3282</v>
      </c>
    </row>
    <row r="1388" spans="1:2" x14ac:dyDescent="0.3">
      <c r="A1388" t="str">
        <f>"40095"</f>
        <v>40095</v>
      </c>
      <c r="B1388" t="s">
        <v>173</v>
      </c>
    </row>
    <row r="1389" spans="1:2" x14ac:dyDescent="0.3">
      <c r="A1389" t="str">
        <f>"4009700030"</f>
        <v>4009700030</v>
      </c>
      <c r="B1389" t="s">
        <v>3281</v>
      </c>
    </row>
    <row r="1390" spans="1:2" x14ac:dyDescent="0.3">
      <c r="A1390" t="str">
        <f>"4-015058"</f>
        <v>4-015058</v>
      </c>
      <c r="B1390" t="s">
        <v>4783</v>
      </c>
    </row>
    <row r="1391" spans="1:2" x14ac:dyDescent="0.3">
      <c r="A1391" t="str">
        <f>"40176-7"</f>
        <v>40176-7</v>
      </c>
      <c r="B1391" t="s">
        <v>180</v>
      </c>
    </row>
    <row r="1392" spans="1:2" x14ac:dyDescent="0.3">
      <c r="A1392" t="str">
        <f>"40178-21"</f>
        <v>40178-21</v>
      </c>
      <c r="B1392" t="s">
        <v>1612</v>
      </c>
    </row>
    <row r="1393" spans="1:2" x14ac:dyDescent="0.3">
      <c r="A1393" t="str">
        <f>"40178-26"</f>
        <v>40178-26</v>
      </c>
      <c r="B1393" t="s">
        <v>181</v>
      </c>
    </row>
    <row r="1394" spans="1:2" x14ac:dyDescent="0.3">
      <c r="A1394" t="str">
        <f>"402-188-1"</f>
        <v>402-188-1</v>
      </c>
      <c r="B1394" t="s">
        <v>13</v>
      </c>
    </row>
    <row r="1395" spans="1:2" x14ac:dyDescent="0.3">
      <c r="A1395" t="str">
        <f>"402AH"</f>
        <v>402AH</v>
      </c>
      <c r="B1395" t="s">
        <v>1205</v>
      </c>
    </row>
    <row r="1396" spans="1:2" x14ac:dyDescent="0.3">
      <c r="A1396" t="str">
        <f>"403039-15"</f>
        <v>403039-15</v>
      </c>
      <c r="B1396" t="s">
        <v>278</v>
      </c>
    </row>
    <row r="1397" spans="1:2" x14ac:dyDescent="0.3">
      <c r="A1397" t="str">
        <f>"40338"</f>
        <v>40338</v>
      </c>
      <c r="B1397" t="s">
        <v>328</v>
      </c>
    </row>
    <row r="1398" spans="1:2" x14ac:dyDescent="0.3">
      <c r="A1398" t="str">
        <f>"4034299-10"</f>
        <v>4034299-10</v>
      </c>
      <c r="B1398" t="s">
        <v>162</v>
      </c>
    </row>
    <row r="1399" spans="1:2" x14ac:dyDescent="0.3">
      <c r="A1399" t="str">
        <f>"4035956-4"</f>
        <v>4035956-4</v>
      </c>
      <c r="B1399" t="s">
        <v>555</v>
      </c>
    </row>
    <row r="1400" spans="1:2" x14ac:dyDescent="0.3">
      <c r="A1400" t="str">
        <f>"4039892-908"</f>
        <v>4039892-908</v>
      </c>
      <c r="B1400" t="s">
        <v>2089</v>
      </c>
    </row>
    <row r="1401" spans="1:2" x14ac:dyDescent="0.3">
      <c r="A1401" t="str">
        <f>"4040440-2"</f>
        <v>4040440-2</v>
      </c>
      <c r="B1401" t="s">
        <v>3379</v>
      </c>
    </row>
    <row r="1402" spans="1:2" x14ac:dyDescent="0.3">
      <c r="A1402" t="str">
        <f>"4040505-2"</f>
        <v>4040505-2</v>
      </c>
      <c r="B1402" t="s">
        <v>396</v>
      </c>
    </row>
    <row r="1403" spans="1:2" x14ac:dyDescent="0.3">
      <c r="A1403" t="str">
        <f>"40-414A"</f>
        <v>40-414A</v>
      </c>
      <c r="B1403" t="s">
        <v>1368</v>
      </c>
    </row>
    <row r="1404" spans="1:2" x14ac:dyDescent="0.3">
      <c r="A1404" t="str">
        <f>"4041-70"</f>
        <v>4041-70</v>
      </c>
      <c r="B1404" t="s">
        <v>1550</v>
      </c>
    </row>
    <row r="1405" spans="1:2" x14ac:dyDescent="0.3">
      <c r="A1405" t="str">
        <f>"4042509-2"</f>
        <v>4042509-2</v>
      </c>
      <c r="B1405" t="s">
        <v>446</v>
      </c>
    </row>
    <row r="1406" spans="1:2" x14ac:dyDescent="0.3">
      <c r="A1406" t="str">
        <f>"4051153"</f>
        <v>4051153</v>
      </c>
      <c r="B1406" t="s">
        <v>672</v>
      </c>
    </row>
    <row r="1407" spans="1:2" x14ac:dyDescent="0.3">
      <c r="A1407" t="str">
        <f>"4051600-923"</f>
        <v>4051600-923</v>
      </c>
      <c r="B1407" t="s">
        <v>1539</v>
      </c>
    </row>
    <row r="1408" spans="1:2" x14ac:dyDescent="0.3">
      <c r="A1408" t="str">
        <f>"40576"</f>
        <v>40576</v>
      </c>
      <c r="B1408" t="s">
        <v>180</v>
      </c>
    </row>
    <row r="1409" spans="1:2" x14ac:dyDescent="0.3">
      <c r="A1409" t="str">
        <f>"40-621-059-89"</f>
        <v>40-621-059-89</v>
      </c>
      <c r="B1409" t="s">
        <v>11</v>
      </c>
    </row>
    <row r="1410" spans="1:2" x14ac:dyDescent="0.3">
      <c r="A1410" t="str">
        <f>"4062354-101"</f>
        <v>4062354-101</v>
      </c>
      <c r="B1410" t="s">
        <v>13</v>
      </c>
    </row>
    <row r="1411" spans="1:2" x14ac:dyDescent="0.3">
      <c r="A1411" t="str">
        <f>"40-656-5002"</f>
        <v>40-656-5002</v>
      </c>
      <c r="B1411" t="s">
        <v>494</v>
      </c>
    </row>
    <row r="1412" spans="1:2" x14ac:dyDescent="0.3">
      <c r="A1412" t="str">
        <f>"40-657-5068"</f>
        <v>40-657-5068</v>
      </c>
      <c r="B1412" t="s">
        <v>494</v>
      </c>
    </row>
    <row r="1413" spans="1:2" x14ac:dyDescent="0.3">
      <c r="A1413" t="str">
        <f>"40678-2"</f>
        <v>40678-2</v>
      </c>
      <c r="B1413" t="s">
        <v>181</v>
      </c>
    </row>
    <row r="1414" spans="1:2" x14ac:dyDescent="0.3">
      <c r="A1414" t="str">
        <f>"40709-01"</f>
        <v>40709-01</v>
      </c>
      <c r="B1414" t="s">
        <v>211</v>
      </c>
    </row>
    <row r="1415" spans="1:2" x14ac:dyDescent="0.3">
      <c r="A1415" t="str">
        <f>"40-77"</f>
        <v>40-77</v>
      </c>
      <c r="B1415" t="s">
        <v>789</v>
      </c>
    </row>
    <row r="1416" spans="1:2" x14ac:dyDescent="0.3">
      <c r="A1416" t="str">
        <f>"407968"</f>
        <v>407968</v>
      </c>
      <c r="B1416" t="s">
        <v>1941</v>
      </c>
    </row>
    <row r="1417" spans="1:2" x14ac:dyDescent="0.3">
      <c r="A1417" t="str">
        <f>"4082507"</f>
        <v>4082507</v>
      </c>
      <c r="B1417" t="s">
        <v>1879</v>
      </c>
    </row>
    <row r="1418" spans="1:2" x14ac:dyDescent="0.3">
      <c r="A1418" t="str">
        <f>"4085-10"</f>
        <v>4085-10</v>
      </c>
      <c r="B1418" t="s">
        <v>4814</v>
      </c>
    </row>
    <row r="1419" spans="1:2" x14ac:dyDescent="0.3">
      <c r="A1419" t="str">
        <f>"40863G-02"</f>
        <v>40863G-02</v>
      </c>
      <c r="B1419" t="s">
        <v>4689</v>
      </c>
    </row>
    <row r="1420" spans="1:2" x14ac:dyDescent="0.3">
      <c r="A1420" t="str">
        <f>"4091507-400"</f>
        <v>4091507-400</v>
      </c>
      <c r="B1420" t="s">
        <v>2021</v>
      </c>
    </row>
    <row r="1421" spans="1:2" x14ac:dyDescent="0.3">
      <c r="A1421" t="str">
        <f>"40S5-7"</f>
        <v>40S5-7</v>
      </c>
      <c r="B1421" t="s">
        <v>1414</v>
      </c>
    </row>
    <row r="1422" spans="1:2" x14ac:dyDescent="0.3">
      <c r="A1422" t="str">
        <f>"4101105"</f>
        <v>4101105</v>
      </c>
      <c r="B1422" t="s">
        <v>336</v>
      </c>
    </row>
    <row r="1423" spans="1:2" x14ac:dyDescent="0.3">
      <c r="A1423" t="str">
        <f>"411070"</f>
        <v>411070</v>
      </c>
      <c r="B1423" t="s">
        <v>2261</v>
      </c>
    </row>
    <row r="1424" spans="1:2" x14ac:dyDescent="0.3">
      <c r="A1424" t="str">
        <f>"411071"</f>
        <v>411071</v>
      </c>
      <c r="B1424" t="s">
        <v>2261</v>
      </c>
    </row>
    <row r="1425" spans="1:2" x14ac:dyDescent="0.3">
      <c r="A1425" t="str">
        <f>"4112011-3"</f>
        <v>4112011-3</v>
      </c>
      <c r="B1425" t="s">
        <v>184</v>
      </c>
    </row>
    <row r="1426" spans="1:2" x14ac:dyDescent="0.3">
      <c r="A1426" t="str">
        <f>"4112238-1"</f>
        <v>4112238-1</v>
      </c>
      <c r="B1426" t="s">
        <v>1746</v>
      </c>
    </row>
    <row r="1427" spans="1:2" x14ac:dyDescent="0.3">
      <c r="A1427" t="str">
        <f>"4112262-1"</f>
        <v>4112262-1</v>
      </c>
      <c r="B1427" t="s">
        <v>1746</v>
      </c>
    </row>
    <row r="1428" spans="1:2" x14ac:dyDescent="0.3">
      <c r="A1428" t="str">
        <f>"411637"</f>
        <v>411637</v>
      </c>
      <c r="B1428" t="s">
        <v>188</v>
      </c>
    </row>
    <row r="1429" spans="1:2" x14ac:dyDescent="0.3">
      <c r="A1429" t="str">
        <f>"411691"</f>
        <v>411691</v>
      </c>
      <c r="B1429" t="s">
        <v>2262</v>
      </c>
    </row>
    <row r="1430" spans="1:2" x14ac:dyDescent="0.3">
      <c r="A1430" t="str">
        <f>"411-811-0982-004"</f>
        <v>411-811-0982-004</v>
      </c>
      <c r="B1430" t="s">
        <v>13</v>
      </c>
    </row>
    <row r="1431" spans="1:2" x14ac:dyDescent="0.3">
      <c r="A1431" t="str">
        <f>"411A2128-37A"</f>
        <v>411A2128-37A</v>
      </c>
      <c r="B1431" t="s">
        <v>4363</v>
      </c>
    </row>
    <row r="1432" spans="1:2" x14ac:dyDescent="0.3">
      <c r="A1432" t="str">
        <f>"411N1131-7"</f>
        <v>411N1131-7</v>
      </c>
      <c r="B1432" t="s">
        <v>2111</v>
      </c>
    </row>
    <row r="1433" spans="1:2" x14ac:dyDescent="0.3">
      <c r="A1433" t="str">
        <f>"411N1133-9B"</f>
        <v>411N1133-9B</v>
      </c>
      <c r="B1433" t="s">
        <v>3245</v>
      </c>
    </row>
    <row r="1434" spans="1:2" x14ac:dyDescent="0.3">
      <c r="A1434" t="str">
        <f>"411N1230-101"</f>
        <v>411N1230-101</v>
      </c>
      <c r="B1434" t="s">
        <v>889</v>
      </c>
    </row>
    <row r="1435" spans="1:2" x14ac:dyDescent="0.3">
      <c r="A1435" t="str">
        <f>"411N1407-2"</f>
        <v>411N1407-2</v>
      </c>
      <c r="B1435" t="s">
        <v>154</v>
      </c>
    </row>
    <row r="1436" spans="1:2" x14ac:dyDescent="0.3">
      <c r="A1436" t="str">
        <f>"411N2599-4"</f>
        <v>411N2599-4</v>
      </c>
      <c r="B1436" t="s">
        <v>2542</v>
      </c>
    </row>
    <row r="1437" spans="1:2" x14ac:dyDescent="0.3">
      <c r="A1437" t="str">
        <f>"4129B30"</f>
        <v>4129B30</v>
      </c>
      <c r="B1437" t="s">
        <v>1953</v>
      </c>
    </row>
    <row r="1438" spans="1:2" x14ac:dyDescent="0.3">
      <c r="A1438" t="str">
        <f>"412A1460-2"</f>
        <v>412A1460-2</v>
      </c>
      <c r="B1438" t="s">
        <v>154</v>
      </c>
    </row>
    <row r="1439" spans="1:2" x14ac:dyDescent="0.3">
      <c r="A1439" t="str">
        <f>"412A1605-41"</f>
        <v>412A1605-41</v>
      </c>
      <c r="B1439" t="s">
        <v>635</v>
      </c>
    </row>
    <row r="1440" spans="1:2" x14ac:dyDescent="0.3">
      <c r="A1440" t="str">
        <f>"41300747004"</f>
        <v>41300747004</v>
      </c>
      <c r="B1440" t="s">
        <v>2744</v>
      </c>
    </row>
    <row r="1441" spans="1:2" x14ac:dyDescent="0.3">
      <c r="A1441" t="str">
        <f>"4132157-1"</f>
        <v>4132157-1</v>
      </c>
      <c r="B1441" t="s">
        <v>132</v>
      </c>
    </row>
    <row r="1442" spans="1:2" x14ac:dyDescent="0.3">
      <c r="A1442" t="str">
        <f>"4132240-2A3A"</f>
        <v>4132240-2A3A</v>
      </c>
      <c r="B1442" t="s">
        <v>119</v>
      </c>
    </row>
    <row r="1443" spans="1:2" x14ac:dyDescent="0.3">
      <c r="A1443" t="str">
        <f>"414470"</f>
        <v>414470</v>
      </c>
      <c r="B1443" t="s">
        <v>2473</v>
      </c>
    </row>
    <row r="1444" spans="1:2" x14ac:dyDescent="0.3">
      <c r="A1444" t="str">
        <f>"414984"</f>
        <v>414984</v>
      </c>
      <c r="B1444" t="s">
        <v>2543</v>
      </c>
    </row>
    <row r="1445" spans="1:2" x14ac:dyDescent="0.3">
      <c r="A1445" t="str">
        <f>"4150-23300-00952"</f>
        <v>4150-23300-00952</v>
      </c>
      <c r="B1445" t="s">
        <v>173</v>
      </c>
    </row>
    <row r="1446" spans="1:2" x14ac:dyDescent="0.3">
      <c r="A1446" t="str">
        <f>"4150-34700-00952"</f>
        <v>4150-34700-00952</v>
      </c>
      <c r="B1446" t="s">
        <v>173</v>
      </c>
    </row>
    <row r="1447" spans="1:2" x14ac:dyDescent="0.3">
      <c r="A1447" t="str">
        <f>"415461"</f>
        <v>415461</v>
      </c>
      <c r="B1447" t="s">
        <v>1797</v>
      </c>
    </row>
    <row r="1448" spans="1:2" x14ac:dyDescent="0.3">
      <c r="A1448" t="str">
        <f>"415782"</f>
        <v>415782</v>
      </c>
      <c r="B1448" t="s">
        <v>129</v>
      </c>
    </row>
    <row r="1449" spans="1:2" x14ac:dyDescent="0.3">
      <c r="A1449" t="str">
        <f>"4165312-2"</f>
        <v>4165312-2</v>
      </c>
      <c r="B1449" t="s">
        <v>119</v>
      </c>
    </row>
    <row r="1450" spans="1:2" x14ac:dyDescent="0.3">
      <c r="A1450" t="str">
        <f>"417A5461-2A"</f>
        <v>417A5461-2A</v>
      </c>
      <c r="B1450" t="s">
        <v>4423</v>
      </c>
    </row>
    <row r="1451" spans="1:2" x14ac:dyDescent="0.3">
      <c r="A1451" t="str">
        <f>"417A8712-101"</f>
        <v>417A8712-101</v>
      </c>
      <c r="B1451" t="s">
        <v>629</v>
      </c>
    </row>
    <row r="1452" spans="1:2" x14ac:dyDescent="0.3">
      <c r="A1452" t="str">
        <f>"4186A19E0190"</f>
        <v>4186A19E0190</v>
      </c>
      <c r="B1452" t="s">
        <v>3054</v>
      </c>
    </row>
    <row r="1453" spans="1:2" x14ac:dyDescent="0.3">
      <c r="A1453" t="str">
        <f>"4196034"</f>
        <v>4196034</v>
      </c>
      <c r="B1453" t="s">
        <v>132</v>
      </c>
    </row>
    <row r="1454" spans="1:2" x14ac:dyDescent="0.3">
      <c r="A1454" t="str">
        <f>"419628"</f>
        <v>419628</v>
      </c>
      <c r="B1454" t="s">
        <v>1875</v>
      </c>
    </row>
    <row r="1455" spans="1:2" x14ac:dyDescent="0.3">
      <c r="A1455" t="str">
        <f>"4199885"</f>
        <v>4199885</v>
      </c>
      <c r="B1455" t="s">
        <v>132</v>
      </c>
    </row>
    <row r="1456" spans="1:2" x14ac:dyDescent="0.3">
      <c r="A1456" t="str">
        <f>"4204208"</f>
        <v>4204208</v>
      </c>
      <c r="B1456" t="s">
        <v>3033</v>
      </c>
    </row>
    <row r="1457" spans="1:2" x14ac:dyDescent="0.3">
      <c r="A1457" t="str">
        <f>"42302-102"</f>
        <v>42302-102</v>
      </c>
      <c r="B1457" t="s">
        <v>4529</v>
      </c>
    </row>
    <row r="1458" spans="1:2" x14ac:dyDescent="0.3">
      <c r="A1458" t="str">
        <f>"424540"</f>
        <v>424540</v>
      </c>
    </row>
    <row r="1459" spans="1:2" x14ac:dyDescent="0.3">
      <c r="A1459" t="str">
        <f>"424B200-6"</f>
        <v>424B200-6</v>
      </c>
      <c r="B1459" t="s">
        <v>635</v>
      </c>
    </row>
    <row r="1460" spans="1:2" x14ac:dyDescent="0.3">
      <c r="A1460" t="str">
        <f>"424B200-7"</f>
        <v>424B200-7</v>
      </c>
      <c r="B1460" t="s">
        <v>4416</v>
      </c>
    </row>
    <row r="1461" spans="1:2" x14ac:dyDescent="0.3">
      <c r="A1461" t="str">
        <f>"42690H-20629"</f>
        <v>42690H-20629</v>
      </c>
      <c r="B1461" t="s">
        <v>3031</v>
      </c>
    </row>
    <row r="1462" spans="1:2" x14ac:dyDescent="0.3">
      <c r="A1462" t="str">
        <f>"42FLW524"</f>
        <v>42FLW524</v>
      </c>
      <c r="B1462" t="s">
        <v>246</v>
      </c>
    </row>
    <row r="1463" spans="1:2" x14ac:dyDescent="0.3">
      <c r="A1463" t="str">
        <f>"42FLW720"</f>
        <v>42FLW720</v>
      </c>
      <c r="B1463" t="s">
        <v>1081</v>
      </c>
    </row>
    <row r="1464" spans="1:2" x14ac:dyDescent="0.3">
      <c r="A1464" t="str">
        <f>"42FLW-820"</f>
        <v>42FLW-820</v>
      </c>
      <c r="B1464" t="s">
        <v>246</v>
      </c>
    </row>
    <row r="1465" spans="1:2" x14ac:dyDescent="0.3">
      <c r="A1465" t="str">
        <f>"430013"</f>
        <v>430013</v>
      </c>
      <c r="B1465" t="s">
        <v>353</v>
      </c>
    </row>
    <row r="1466" spans="1:2" x14ac:dyDescent="0.3">
      <c r="A1466" t="str">
        <f>"4300-206"</f>
        <v>4300-206</v>
      </c>
      <c r="B1466" t="s">
        <v>972</v>
      </c>
    </row>
    <row r="1467" spans="1:2" x14ac:dyDescent="0.3">
      <c r="A1467" t="str">
        <f>"430130"</f>
        <v>430130</v>
      </c>
      <c r="B1467" t="s">
        <v>3433</v>
      </c>
    </row>
    <row r="1468" spans="1:2" x14ac:dyDescent="0.3">
      <c r="A1468" t="str">
        <f>"430-65921"</f>
        <v>430-65921</v>
      </c>
      <c r="B1468" t="s">
        <v>264</v>
      </c>
    </row>
    <row r="1469" spans="1:2" x14ac:dyDescent="0.3">
      <c r="A1469" t="str">
        <f>"43-1222"</f>
        <v>43-1222</v>
      </c>
      <c r="B1469" t="s">
        <v>363</v>
      </c>
    </row>
    <row r="1470" spans="1:2" x14ac:dyDescent="0.3">
      <c r="A1470" t="str">
        <f>"43-1329"</f>
        <v>43-1329</v>
      </c>
      <c r="B1470" t="s">
        <v>363</v>
      </c>
    </row>
    <row r="1471" spans="1:2" x14ac:dyDescent="0.3">
      <c r="A1471" t="str">
        <f>"43-1428"</f>
        <v>43-1428</v>
      </c>
      <c r="B1471" t="s">
        <v>363</v>
      </c>
    </row>
    <row r="1472" spans="1:2" x14ac:dyDescent="0.3">
      <c r="A1472" t="str">
        <f>"433-673-1004-4031"</f>
        <v>433-673-1004-4031</v>
      </c>
      <c r="B1472" t="s">
        <v>3367</v>
      </c>
    </row>
    <row r="1473" spans="1:2" x14ac:dyDescent="0.3">
      <c r="A1473" t="str">
        <f>"434-674-1031-2245"</f>
        <v>434-674-1031-2245</v>
      </c>
      <c r="B1473" t="s">
        <v>4657</v>
      </c>
    </row>
    <row r="1474" spans="1:2" x14ac:dyDescent="0.3">
      <c r="A1474" t="str">
        <f>"4347"</f>
        <v>4347</v>
      </c>
      <c r="B1474" t="s">
        <v>842</v>
      </c>
    </row>
    <row r="1475" spans="1:2" x14ac:dyDescent="0.3">
      <c r="A1475" t="str">
        <f>"4353-1191SH"</f>
        <v>4353-1191SH</v>
      </c>
      <c r="B1475" t="s">
        <v>108</v>
      </c>
    </row>
    <row r="1476" spans="1:2" x14ac:dyDescent="0.3">
      <c r="A1476" t="str">
        <f>"43-668"</f>
        <v>43-668</v>
      </c>
      <c r="B1476" t="s">
        <v>363</v>
      </c>
    </row>
    <row r="1477" spans="1:2" x14ac:dyDescent="0.3">
      <c r="A1477" t="str">
        <f>"4370"</f>
        <v>4370</v>
      </c>
      <c r="B1477" t="s">
        <v>842</v>
      </c>
    </row>
    <row r="1478" spans="1:2" x14ac:dyDescent="0.3">
      <c r="A1478" t="str">
        <f>"4371"</f>
        <v>4371</v>
      </c>
      <c r="B1478" t="s">
        <v>2384</v>
      </c>
    </row>
    <row r="1479" spans="1:2" x14ac:dyDescent="0.3">
      <c r="A1479" t="str">
        <f>"437276"</f>
        <v>437276</v>
      </c>
      <c r="B1479" t="s">
        <v>132</v>
      </c>
    </row>
    <row r="1480" spans="1:2" x14ac:dyDescent="0.3">
      <c r="A1480" t="str">
        <f>"439001228"</f>
        <v>439001228</v>
      </c>
      <c r="B1480" t="s">
        <v>4294</v>
      </c>
    </row>
    <row r="1481" spans="1:2" x14ac:dyDescent="0.3">
      <c r="A1481" t="str">
        <f>"439009018"</f>
        <v>439009018</v>
      </c>
      <c r="B1481" t="s">
        <v>238</v>
      </c>
    </row>
    <row r="1482" spans="1:2" x14ac:dyDescent="0.3">
      <c r="A1482" t="str">
        <f>"43F100"</f>
        <v>43F100</v>
      </c>
      <c r="B1482" t="s">
        <v>1474</v>
      </c>
    </row>
    <row r="1483" spans="1:2" x14ac:dyDescent="0.3">
      <c r="A1483" t="str">
        <f>"440-0150-15"</f>
        <v>440-0150-15</v>
      </c>
      <c r="B1483" t="s">
        <v>112</v>
      </c>
    </row>
    <row r="1484" spans="1:2" x14ac:dyDescent="0.3">
      <c r="A1484" t="str">
        <f>"440-0150-3"</f>
        <v>440-0150-3</v>
      </c>
      <c r="B1484" t="s">
        <v>329</v>
      </c>
    </row>
    <row r="1485" spans="1:2" x14ac:dyDescent="0.3">
      <c r="A1485" t="str">
        <f>"44066"</f>
        <v>44066</v>
      </c>
      <c r="B1485" t="s">
        <v>278</v>
      </c>
    </row>
    <row r="1486" spans="1:2" x14ac:dyDescent="0.3">
      <c r="A1486" t="str">
        <f>"440888"</f>
        <v>440888</v>
      </c>
      <c r="B1486" t="s">
        <v>3577</v>
      </c>
    </row>
    <row r="1487" spans="1:2" x14ac:dyDescent="0.3">
      <c r="A1487" t="str">
        <f>"441563"</f>
        <v>441563</v>
      </c>
      <c r="B1487" t="s">
        <v>3008</v>
      </c>
    </row>
    <row r="1488" spans="1:2" x14ac:dyDescent="0.3">
      <c r="A1488" t="str">
        <f>"444160"</f>
        <v>444160</v>
      </c>
      <c r="B1488" t="s">
        <v>4522</v>
      </c>
    </row>
    <row r="1489" spans="1:2" x14ac:dyDescent="0.3">
      <c r="A1489" t="str">
        <f>"444305"</f>
        <v>444305</v>
      </c>
      <c r="B1489" t="s">
        <v>635</v>
      </c>
    </row>
    <row r="1490" spans="1:2" x14ac:dyDescent="0.3">
      <c r="A1490" t="str">
        <f>"44509"</f>
        <v>44509</v>
      </c>
      <c r="B1490" t="s">
        <v>173</v>
      </c>
    </row>
    <row r="1491" spans="1:2" x14ac:dyDescent="0.3">
      <c r="A1491" t="str">
        <f>"445-0910-9"</f>
        <v>445-0910-9</v>
      </c>
      <c r="B1491" t="s">
        <v>4007</v>
      </c>
    </row>
    <row r="1492" spans="1:2" x14ac:dyDescent="0.3">
      <c r="A1492" t="str">
        <f>"446077"</f>
        <v>446077</v>
      </c>
      <c r="B1492" t="s">
        <v>4</v>
      </c>
    </row>
    <row r="1493" spans="1:2" x14ac:dyDescent="0.3">
      <c r="A1493" t="str">
        <f>"447993"</f>
        <v>447993</v>
      </c>
      <c r="B1493" t="s">
        <v>3771</v>
      </c>
    </row>
    <row r="1494" spans="1:2" x14ac:dyDescent="0.3">
      <c r="A1494" t="str">
        <f>"448"</f>
        <v>448</v>
      </c>
      <c r="B1494" t="s">
        <v>2998</v>
      </c>
    </row>
    <row r="1495" spans="1:2" x14ac:dyDescent="0.3">
      <c r="A1495" t="str">
        <f>"44MY233385"</f>
        <v>44MY233385</v>
      </c>
      <c r="B1495" t="s">
        <v>13</v>
      </c>
    </row>
    <row r="1496" spans="1:2" x14ac:dyDescent="0.3">
      <c r="A1496" t="str">
        <f>"44MY241307"</f>
        <v>44MY241307</v>
      </c>
      <c r="B1496" t="s">
        <v>13</v>
      </c>
    </row>
    <row r="1497" spans="1:2" x14ac:dyDescent="0.3">
      <c r="A1497" t="str">
        <f>"44MY241308"</f>
        <v>44MY241308</v>
      </c>
      <c r="B1497" t="s">
        <v>13</v>
      </c>
    </row>
    <row r="1498" spans="1:2" x14ac:dyDescent="0.3">
      <c r="A1498" t="str">
        <f>"450-0011"</f>
        <v>450-0011</v>
      </c>
      <c r="B1498" t="s">
        <v>175</v>
      </c>
    </row>
    <row r="1499" spans="1:2" x14ac:dyDescent="0.3">
      <c r="A1499" t="str">
        <f>"450-0043"</f>
        <v>450-0043</v>
      </c>
      <c r="B1499" t="s">
        <v>175</v>
      </c>
    </row>
    <row r="1500" spans="1:2" x14ac:dyDescent="0.3">
      <c r="A1500" t="str">
        <f>"450-0048"</f>
        <v>450-0048</v>
      </c>
      <c r="B1500" t="s">
        <v>175</v>
      </c>
    </row>
    <row r="1501" spans="1:2" x14ac:dyDescent="0.3">
      <c r="A1501" t="str">
        <f>"450-0503-030"</f>
        <v>450-0503-030</v>
      </c>
      <c r="B1501" t="s">
        <v>11</v>
      </c>
    </row>
    <row r="1502" spans="1:2" x14ac:dyDescent="0.3">
      <c r="A1502" t="str">
        <f>"450-1-3100-00"</f>
        <v>450-1-3100-00</v>
      </c>
      <c r="B1502" t="s">
        <v>13</v>
      </c>
    </row>
    <row r="1503" spans="1:2" x14ac:dyDescent="0.3">
      <c r="A1503" t="str">
        <f>"4504985"</f>
        <v>4504985</v>
      </c>
      <c r="B1503" t="s">
        <v>18</v>
      </c>
    </row>
    <row r="1504" spans="1:2" x14ac:dyDescent="0.3">
      <c r="A1504" t="str">
        <f>"450-S0052"</f>
        <v>450-S0052</v>
      </c>
      <c r="B1504" t="s">
        <v>175</v>
      </c>
    </row>
    <row r="1505" spans="1:2" x14ac:dyDescent="0.3">
      <c r="A1505" t="str">
        <f>"450-S0057"</f>
        <v>450-S0057</v>
      </c>
      <c r="B1505" t="s">
        <v>175</v>
      </c>
    </row>
    <row r="1506" spans="1:2" x14ac:dyDescent="0.3">
      <c r="A1506" t="str">
        <f>"451712"</f>
        <v>451712</v>
      </c>
      <c r="B1506" t="s">
        <v>3645</v>
      </c>
    </row>
    <row r="1507" spans="1:2" x14ac:dyDescent="0.3">
      <c r="A1507" t="str">
        <f>"451720"</f>
        <v>451720</v>
      </c>
      <c r="B1507" t="s">
        <v>3644</v>
      </c>
    </row>
    <row r="1508" spans="1:2" x14ac:dyDescent="0.3">
      <c r="A1508" t="str">
        <f>"452-0130"</f>
        <v>452-0130</v>
      </c>
      <c r="B1508" t="s">
        <v>181</v>
      </c>
    </row>
    <row r="1509" spans="1:2" x14ac:dyDescent="0.3">
      <c r="A1509" t="str">
        <f>"452-0133"</f>
        <v>452-0133</v>
      </c>
      <c r="B1509" t="s">
        <v>3024</v>
      </c>
    </row>
    <row r="1510" spans="1:2" x14ac:dyDescent="0.3">
      <c r="A1510" t="str">
        <f>"45203015"</f>
        <v>45203015</v>
      </c>
      <c r="B1510" t="s">
        <v>4465</v>
      </c>
    </row>
    <row r="1511" spans="1:2" x14ac:dyDescent="0.3">
      <c r="A1511" t="str">
        <f>"452-201-006"</f>
        <v>452-201-006</v>
      </c>
      <c r="B1511" t="s">
        <v>1906</v>
      </c>
    </row>
    <row r="1512" spans="1:2" x14ac:dyDescent="0.3">
      <c r="A1512" t="str">
        <f>"45-231-1"</f>
        <v>45-231-1</v>
      </c>
      <c r="B1512" t="s">
        <v>3051</v>
      </c>
    </row>
    <row r="1513" spans="1:2" x14ac:dyDescent="0.3">
      <c r="A1513" t="str">
        <f>"452402"</f>
        <v>452402</v>
      </c>
      <c r="B1513" t="s">
        <v>3659</v>
      </c>
    </row>
    <row r="1514" spans="1:2" x14ac:dyDescent="0.3">
      <c r="A1514" t="str">
        <f>"452423"</f>
        <v>452423</v>
      </c>
      <c r="B1514" t="s">
        <v>3658</v>
      </c>
    </row>
    <row r="1515" spans="1:2" x14ac:dyDescent="0.3">
      <c r="A1515" t="str">
        <f>"453-5060"</f>
        <v>453-5060</v>
      </c>
      <c r="B1515" t="s">
        <v>4688</v>
      </c>
    </row>
    <row r="1516" spans="1:2" x14ac:dyDescent="0.3">
      <c r="A1516" t="str">
        <f>"453A1810-12"</f>
        <v>453A1810-12</v>
      </c>
      <c r="B1516" t="s">
        <v>4528</v>
      </c>
    </row>
    <row r="1517" spans="1:2" x14ac:dyDescent="0.3">
      <c r="A1517" t="str">
        <f>"455-0012"</f>
        <v>455-0012</v>
      </c>
      <c r="B1517" t="s">
        <v>3938</v>
      </c>
    </row>
    <row r="1518" spans="1:2" x14ac:dyDescent="0.3">
      <c r="A1518" t="str">
        <f>"4551"</f>
        <v>4551</v>
      </c>
      <c r="B1518" t="s">
        <v>632</v>
      </c>
    </row>
    <row r="1519" spans="1:2" x14ac:dyDescent="0.3">
      <c r="A1519" t="str">
        <f>"4553"</f>
        <v>4553</v>
      </c>
      <c r="B1519" t="s">
        <v>4384</v>
      </c>
    </row>
    <row r="1520" spans="1:2" x14ac:dyDescent="0.3">
      <c r="A1520" t="str">
        <f>"4557"</f>
        <v>4557</v>
      </c>
      <c r="B1520" t="s">
        <v>786</v>
      </c>
    </row>
    <row r="1521" spans="1:2" x14ac:dyDescent="0.3">
      <c r="A1521" t="str">
        <f>"4587"</f>
        <v>4587</v>
      </c>
      <c r="B1521" t="s">
        <v>1227</v>
      </c>
    </row>
    <row r="1522" spans="1:2" x14ac:dyDescent="0.3">
      <c r="A1522" t="str">
        <f>"4591"</f>
        <v>4591</v>
      </c>
      <c r="B1522" t="s">
        <v>11</v>
      </c>
    </row>
    <row r="1523" spans="1:2" x14ac:dyDescent="0.3">
      <c r="A1523" t="str">
        <f>"4594"</f>
        <v>4594</v>
      </c>
      <c r="B1523" t="s">
        <v>883</v>
      </c>
    </row>
    <row r="1524" spans="1:2" x14ac:dyDescent="0.3">
      <c r="A1524" t="str">
        <f>"4596"</f>
        <v>4596</v>
      </c>
      <c r="B1524" t="s">
        <v>1226</v>
      </c>
    </row>
    <row r="1525" spans="1:2" x14ac:dyDescent="0.3">
      <c r="A1525" t="str">
        <f>"45D31"</f>
        <v>45D31</v>
      </c>
      <c r="B1525" t="s">
        <v>3900</v>
      </c>
    </row>
    <row r="1526" spans="1:2" x14ac:dyDescent="0.3">
      <c r="A1526" t="str">
        <f>"4602"</f>
        <v>4602</v>
      </c>
      <c r="B1526" t="s">
        <v>151</v>
      </c>
    </row>
    <row r="1527" spans="1:2" x14ac:dyDescent="0.3">
      <c r="A1527" t="str">
        <f>"46-0286-1"</f>
        <v>46-0286-1</v>
      </c>
      <c r="B1527" t="s">
        <v>162</v>
      </c>
    </row>
    <row r="1528" spans="1:2" x14ac:dyDescent="0.3">
      <c r="A1528" t="str">
        <f>"4604"</f>
        <v>4604</v>
      </c>
      <c r="B1528" t="s">
        <v>188</v>
      </c>
    </row>
    <row r="1529" spans="1:2" x14ac:dyDescent="0.3">
      <c r="A1529" t="str">
        <f>"460-400"</f>
        <v>460-400</v>
      </c>
      <c r="B1529" t="s">
        <v>132</v>
      </c>
    </row>
    <row r="1530" spans="1:2" x14ac:dyDescent="0.3">
      <c r="A1530" t="str">
        <f>"4605"</f>
        <v>4605</v>
      </c>
      <c r="B1530" t="s">
        <v>188</v>
      </c>
    </row>
    <row r="1531" spans="1:2" x14ac:dyDescent="0.3">
      <c r="A1531" t="str">
        <f>"46-0548-5"</f>
        <v>46-0548-5</v>
      </c>
      <c r="B1531" t="s">
        <v>336</v>
      </c>
    </row>
    <row r="1532" spans="1:2" x14ac:dyDescent="0.3">
      <c r="A1532" t="str">
        <f>"4610"</f>
        <v>4610</v>
      </c>
      <c r="B1532" t="s">
        <v>188</v>
      </c>
    </row>
    <row r="1533" spans="1:2" x14ac:dyDescent="0.3">
      <c r="A1533" t="str">
        <f>"4610428052"</f>
        <v>4610428052</v>
      </c>
      <c r="B1533" t="s">
        <v>119</v>
      </c>
    </row>
    <row r="1534" spans="1:2" x14ac:dyDescent="0.3">
      <c r="A1534" t="str">
        <f>"4611375003"</f>
        <v>4611375003</v>
      </c>
      <c r="B1534" t="s">
        <v>353</v>
      </c>
    </row>
    <row r="1535" spans="1:2" x14ac:dyDescent="0.3">
      <c r="A1535" t="str">
        <f>"46-1166-1"</f>
        <v>46-1166-1</v>
      </c>
      <c r="B1535" t="s">
        <v>1607</v>
      </c>
    </row>
    <row r="1536" spans="1:2" x14ac:dyDescent="0.3">
      <c r="A1536" t="str">
        <f>"4618242025"</f>
        <v>4618242025</v>
      </c>
      <c r="B1536" t="s">
        <v>4073</v>
      </c>
    </row>
    <row r="1537" spans="1:2" x14ac:dyDescent="0.3">
      <c r="A1537" t="str">
        <f>"4626"</f>
        <v>4626</v>
      </c>
      <c r="B1537" t="s">
        <v>11</v>
      </c>
    </row>
    <row r="1538" spans="1:2" x14ac:dyDescent="0.3">
      <c r="A1538" t="str">
        <f>"4626(OL)"</f>
        <v>4626(OL)</v>
      </c>
      <c r="B1538" t="s">
        <v>11</v>
      </c>
    </row>
    <row r="1539" spans="1:2" x14ac:dyDescent="0.3">
      <c r="A1539" t="str">
        <f>"46-2763-1"</f>
        <v>46-2763-1</v>
      </c>
      <c r="B1539" t="s">
        <v>336</v>
      </c>
    </row>
    <row r="1540" spans="1:2" x14ac:dyDescent="0.3">
      <c r="A1540" t="str">
        <f>"46-3137-1"</f>
        <v>46-3137-1</v>
      </c>
      <c r="B1540" t="s">
        <v>116</v>
      </c>
    </row>
    <row r="1541" spans="1:2" x14ac:dyDescent="0.3">
      <c r="A1541" t="str">
        <f>"46-3145-1"</f>
        <v>46-3145-1</v>
      </c>
      <c r="B1541" t="s">
        <v>4593</v>
      </c>
    </row>
    <row r="1542" spans="1:2" x14ac:dyDescent="0.3">
      <c r="A1542" t="str">
        <f>"4635"</f>
        <v>4635</v>
      </c>
      <c r="B1542" t="s">
        <v>786</v>
      </c>
    </row>
    <row r="1543" spans="1:2" x14ac:dyDescent="0.3">
      <c r="A1543" t="str">
        <f>"4635(OL)"</f>
        <v>4635(OL)</v>
      </c>
      <c r="B1543" t="s">
        <v>786</v>
      </c>
    </row>
    <row r="1544" spans="1:2" x14ac:dyDescent="0.3">
      <c r="A1544" t="str">
        <f>"4637"</f>
        <v>4637</v>
      </c>
      <c r="B1544" t="s">
        <v>188</v>
      </c>
    </row>
    <row r="1545" spans="1:2" x14ac:dyDescent="0.3">
      <c r="A1545" t="str">
        <f>"465-8600"</f>
        <v>465-8600</v>
      </c>
      <c r="B1545" t="s">
        <v>4798</v>
      </c>
    </row>
    <row r="1546" spans="1:2" x14ac:dyDescent="0.3">
      <c r="A1546" t="str">
        <f>"46799005"</f>
        <v>46799005</v>
      </c>
      <c r="B1546" t="s">
        <v>4308</v>
      </c>
    </row>
    <row r="1547" spans="1:2" x14ac:dyDescent="0.3">
      <c r="A1547" t="str">
        <f>"468346"</f>
        <v>468346</v>
      </c>
      <c r="B1547" t="s">
        <v>136</v>
      </c>
    </row>
    <row r="1548" spans="1:2" x14ac:dyDescent="0.3">
      <c r="A1548" t="str">
        <f>"470-0034"</f>
        <v>470-0034</v>
      </c>
      <c r="B1548" t="s">
        <v>481</v>
      </c>
    </row>
    <row r="1549" spans="1:2" x14ac:dyDescent="0.3">
      <c r="A1549" t="str">
        <f>"470044"</f>
        <v>470044</v>
      </c>
      <c r="B1549" t="s">
        <v>635</v>
      </c>
    </row>
    <row r="1550" spans="1:2" x14ac:dyDescent="0.3">
      <c r="A1550" t="str">
        <f>"470VR01D1A63CBZ"</f>
        <v>470VR01D1A63CBZ</v>
      </c>
      <c r="B1550" t="s">
        <v>786</v>
      </c>
    </row>
    <row r="1551" spans="1:2" x14ac:dyDescent="0.3">
      <c r="A1551" t="str">
        <f>"470VR01D1A63CCA"</f>
        <v>470VR01D1A63CCA</v>
      </c>
      <c r="B1551" t="s">
        <v>786</v>
      </c>
    </row>
    <row r="1552" spans="1:2" x14ac:dyDescent="0.3">
      <c r="A1552" t="str">
        <f>"471-0002"</f>
        <v>471-0002</v>
      </c>
      <c r="B1552" t="s">
        <v>481</v>
      </c>
    </row>
    <row r="1553" spans="1:2" x14ac:dyDescent="0.3">
      <c r="A1553" t="str">
        <f>"471-0004"</f>
        <v>471-0004</v>
      </c>
      <c r="B1553" t="s">
        <v>2043</v>
      </c>
    </row>
    <row r="1554" spans="1:2" x14ac:dyDescent="0.3">
      <c r="A1554" t="str">
        <f>"471-0041"</f>
        <v>471-0041</v>
      </c>
      <c r="B1554" t="s">
        <v>481</v>
      </c>
    </row>
    <row r="1555" spans="1:2" x14ac:dyDescent="0.3">
      <c r="A1555" t="str">
        <f>"4710-1"</f>
        <v>4710-1</v>
      </c>
      <c r="B1555" t="s">
        <v>489</v>
      </c>
    </row>
    <row r="1556" spans="1:2" x14ac:dyDescent="0.3">
      <c r="A1556" t="str">
        <f>"471-0139"</f>
        <v>471-0139</v>
      </c>
      <c r="B1556" t="s">
        <v>481</v>
      </c>
    </row>
    <row r="1557" spans="1:2" x14ac:dyDescent="0.3">
      <c r="A1557" t="str">
        <f>"471-0143"</f>
        <v>471-0143</v>
      </c>
      <c r="B1557" t="s">
        <v>481</v>
      </c>
    </row>
    <row r="1558" spans="1:2" x14ac:dyDescent="0.3">
      <c r="A1558" t="str">
        <f>"471-0150"</f>
        <v>471-0150</v>
      </c>
      <c r="B1558" t="s">
        <v>481</v>
      </c>
    </row>
    <row r="1559" spans="1:2" x14ac:dyDescent="0.3">
      <c r="A1559" t="str">
        <f>"471-0154"</f>
        <v>471-0154</v>
      </c>
      <c r="B1559" t="s">
        <v>481</v>
      </c>
    </row>
    <row r="1560" spans="1:2" x14ac:dyDescent="0.3">
      <c r="A1560" t="str">
        <f>"471-0344"</f>
        <v>471-0344</v>
      </c>
      <c r="B1560" t="s">
        <v>2042</v>
      </c>
    </row>
    <row r="1561" spans="1:2" x14ac:dyDescent="0.3">
      <c r="A1561" t="str">
        <f>"471-0408"</f>
        <v>471-0408</v>
      </c>
      <c r="B1561" t="s">
        <v>1932</v>
      </c>
    </row>
    <row r="1562" spans="1:2" x14ac:dyDescent="0.3">
      <c r="A1562" t="str">
        <f>"472582"</f>
        <v>472582</v>
      </c>
      <c r="B1562" t="s">
        <v>1906</v>
      </c>
    </row>
    <row r="1563" spans="1:2" x14ac:dyDescent="0.3">
      <c r="A1563" t="str">
        <f>"472-RLR07C3001GS"</f>
        <v>472-RLR07C3001GS</v>
      </c>
      <c r="B1563" t="s">
        <v>1973</v>
      </c>
    </row>
    <row r="1564" spans="1:2" x14ac:dyDescent="0.3">
      <c r="A1564" t="str">
        <f>"4730"</f>
        <v>4730</v>
      </c>
      <c r="B1564" t="s">
        <v>682</v>
      </c>
    </row>
    <row r="1565" spans="1:2" x14ac:dyDescent="0.3">
      <c r="A1565" t="str">
        <f>"473002"</f>
        <v>473002</v>
      </c>
      <c r="B1565" t="s">
        <v>264</v>
      </c>
    </row>
    <row r="1566" spans="1:2" x14ac:dyDescent="0.3">
      <c r="A1566" t="str">
        <f>"473-0048"</f>
        <v>473-0048</v>
      </c>
      <c r="B1566" t="s">
        <v>481</v>
      </c>
    </row>
    <row r="1567" spans="1:2" x14ac:dyDescent="0.3">
      <c r="A1567" t="str">
        <f>"473108-2"</f>
        <v>473108-2</v>
      </c>
      <c r="B1567" t="s">
        <v>1902</v>
      </c>
    </row>
    <row r="1568" spans="1:2" x14ac:dyDescent="0.3">
      <c r="A1568" t="str">
        <f>"473597-1"</f>
        <v>473597-1</v>
      </c>
      <c r="B1568" t="s">
        <v>1903</v>
      </c>
    </row>
    <row r="1569" spans="1:2" x14ac:dyDescent="0.3">
      <c r="A1569" t="str">
        <f>"473925"</f>
        <v>473925</v>
      </c>
      <c r="B1569" t="s">
        <v>828</v>
      </c>
    </row>
    <row r="1570" spans="1:2" x14ac:dyDescent="0.3">
      <c r="A1570" t="str">
        <f>"473955-1"</f>
        <v>473955-1</v>
      </c>
      <c r="B1570" t="s">
        <v>1541</v>
      </c>
    </row>
    <row r="1571" spans="1:2" x14ac:dyDescent="0.3">
      <c r="A1571" t="str">
        <f>"475-0045"</f>
        <v>475-0045</v>
      </c>
      <c r="B1571" t="s">
        <v>4077</v>
      </c>
    </row>
    <row r="1572" spans="1:2" x14ac:dyDescent="0.3">
      <c r="A1572" t="str">
        <f>"476-0035"</f>
        <v>476-0035</v>
      </c>
      <c r="B1572" t="s">
        <v>1898</v>
      </c>
    </row>
    <row r="1573" spans="1:2" x14ac:dyDescent="0.3">
      <c r="A1573" t="str">
        <f>"476-0271"</f>
        <v>476-0271</v>
      </c>
      <c r="B1573" t="s">
        <v>2041</v>
      </c>
    </row>
    <row r="1574" spans="1:2" x14ac:dyDescent="0.3">
      <c r="A1574" t="str">
        <f>"47-62-232-10"</f>
        <v>47-62-232-10</v>
      </c>
      <c r="B1574" t="s">
        <v>3319</v>
      </c>
    </row>
    <row r="1575" spans="1:2" x14ac:dyDescent="0.3">
      <c r="A1575" t="str">
        <f>"47688-20629"</f>
        <v>47688-20629</v>
      </c>
      <c r="B1575" t="s">
        <v>3371</v>
      </c>
    </row>
    <row r="1576" spans="1:2" x14ac:dyDescent="0.3">
      <c r="A1576" t="str">
        <f>"4769-5375-0190"</f>
        <v>4769-5375-0190</v>
      </c>
      <c r="B1576" t="s">
        <v>184</v>
      </c>
    </row>
    <row r="1577" spans="1:2" x14ac:dyDescent="0.3">
      <c r="A1577" t="str">
        <f>"476VR01SB50A000"</f>
        <v>476VR01SB50A000</v>
      </c>
      <c r="B1577" t="s">
        <v>338</v>
      </c>
    </row>
    <row r="1578" spans="1:2" x14ac:dyDescent="0.3">
      <c r="A1578" t="str">
        <f>"476W2221-5K"</f>
        <v>476W2221-5K</v>
      </c>
      <c r="B1578" t="s">
        <v>3034</v>
      </c>
    </row>
    <row r="1579" spans="1:2" x14ac:dyDescent="0.3">
      <c r="A1579" t="str">
        <f>"476W2222-3"</f>
        <v>476W2222-3</v>
      </c>
      <c r="B1579" t="s">
        <v>353</v>
      </c>
    </row>
    <row r="1580" spans="1:2" x14ac:dyDescent="0.3">
      <c r="A1580" t="str">
        <f>"4772-0258-000"</f>
        <v>4772-0258-000</v>
      </c>
      <c r="B1580" t="s">
        <v>1618</v>
      </c>
    </row>
    <row r="1581" spans="1:2" x14ac:dyDescent="0.3">
      <c r="A1581" t="str">
        <f>"480-0047"</f>
        <v>480-0047</v>
      </c>
      <c r="B1581" t="s">
        <v>2018</v>
      </c>
    </row>
    <row r="1582" spans="1:2" x14ac:dyDescent="0.3">
      <c r="A1582" t="str">
        <f>"480-0054"</f>
        <v>480-0054</v>
      </c>
    </row>
    <row r="1583" spans="1:2" x14ac:dyDescent="0.3">
      <c r="A1583" t="str">
        <f>"480-0076"</f>
        <v>480-0076</v>
      </c>
      <c r="B1583" t="s">
        <v>475</v>
      </c>
    </row>
    <row r="1584" spans="1:2" x14ac:dyDescent="0.3">
      <c r="A1584" t="str">
        <f>"480-0085"</f>
        <v>480-0085</v>
      </c>
      <c r="B1584" t="s">
        <v>2628</v>
      </c>
    </row>
    <row r="1585" spans="1:2" x14ac:dyDescent="0.3">
      <c r="A1585" t="str">
        <f>"480-0116"</f>
        <v>480-0116</v>
      </c>
      <c r="B1585" t="s">
        <v>1599</v>
      </c>
    </row>
    <row r="1586" spans="1:2" x14ac:dyDescent="0.3">
      <c r="A1586" t="str">
        <f>"480-0128"</f>
        <v>480-0128</v>
      </c>
      <c r="B1586" t="s">
        <v>475</v>
      </c>
    </row>
    <row r="1587" spans="1:2" x14ac:dyDescent="0.3">
      <c r="A1587" t="str">
        <f>"4801-22"</f>
        <v>4801-22</v>
      </c>
      <c r="B1587" t="s">
        <v>18</v>
      </c>
    </row>
    <row r="1588" spans="1:2" x14ac:dyDescent="0.3">
      <c r="A1588" t="str">
        <f>"4802-57-1"</f>
        <v>4802-57-1</v>
      </c>
      <c r="B1588" t="s">
        <v>3320</v>
      </c>
    </row>
    <row r="1589" spans="1:2" x14ac:dyDescent="0.3">
      <c r="A1589" t="str">
        <f>"481-0076"</f>
        <v>481-0076</v>
      </c>
      <c r="B1589" t="s">
        <v>2044</v>
      </c>
    </row>
    <row r="1590" spans="1:2" x14ac:dyDescent="0.3">
      <c r="A1590" t="str">
        <f>"481-0095"</f>
        <v>481-0095</v>
      </c>
      <c r="B1590" t="s">
        <v>1894</v>
      </c>
    </row>
    <row r="1591" spans="1:2" x14ac:dyDescent="0.3">
      <c r="A1591" t="str">
        <f>"4812-174-18"</f>
        <v>4812-174-18</v>
      </c>
    </row>
    <row r="1592" spans="1:2" x14ac:dyDescent="0.3">
      <c r="A1592" t="str">
        <f>"4822-001"</f>
        <v>4822-001</v>
      </c>
      <c r="B1592" t="s">
        <v>4073</v>
      </c>
    </row>
    <row r="1593" spans="1:2" x14ac:dyDescent="0.3">
      <c r="A1593" t="str">
        <f>"48220-20629"</f>
        <v>48220-20629</v>
      </c>
      <c r="B1593" t="s">
        <v>119</v>
      </c>
    </row>
    <row r="1594" spans="1:2" x14ac:dyDescent="0.3">
      <c r="A1594" t="str">
        <f>"48290-20629"</f>
        <v>48290-20629</v>
      </c>
      <c r="B1594" t="s">
        <v>2560</v>
      </c>
    </row>
    <row r="1595" spans="1:2" x14ac:dyDescent="0.3">
      <c r="A1595" t="str">
        <f>"484-0017"</f>
        <v>484-0017</v>
      </c>
      <c r="B1595" t="s">
        <v>1893</v>
      </c>
    </row>
    <row r="1596" spans="1:2" x14ac:dyDescent="0.3">
      <c r="A1596" t="str">
        <f>"48620-20629"</f>
        <v>48620-20629</v>
      </c>
      <c r="B1596" t="s">
        <v>2526</v>
      </c>
    </row>
    <row r="1597" spans="1:2" x14ac:dyDescent="0.3">
      <c r="A1597" t="str">
        <f>"4900314"</f>
        <v>4900314</v>
      </c>
      <c r="B1597" t="s">
        <v>119</v>
      </c>
    </row>
    <row r="1598" spans="1:2" x14ac:dyDescent="0.3">
      <c r="A1598" t="str">
        <f>"49-155-1"</f>
        <v>49-155-1</v>
      </c>
      <c r="B1598" t="s">
        <v>1422</v>
      </c>
    </row>
    <row r="1599" spans="1:2" x14ac:dyDescent="0.3">
      <c r="A1599" t="str">
        <f>"49-310"</f>
        <v>49-310</v>
      </c>
      <c r="B1599" t="s">
        <v>18</v>
      </c>
    </row>
    <row r="1600" spans="1:2" x14ac:dyDescent="0.3">
      <c r="A1600" t="str">
        <f>"49-355"</f>
        <v>49-355</v>
      </c>
      <c r="B1600" t="s">
        <v>18</v>
      </c>
    </row>
    <row r="1601" spans="1:2" x14ac:dyDescent="0.3">
      <c r="A1601" t="str">
        <f>"4L83-046"</f>
        <v>4L83-046</v>
      </c>
      <c r="B1601" t="s">
        <v>492</v>
      </c>
    </row>
    <row r="1602" spans="1:2" x14ac:dyDescent="0.3">
      <c r="A1602" t="str">
        <f>"4SX1T"</f>
        <v>4SX1T</v>
      </c>
      <c r="B1602" t="s">
        <v>13</v>
      </c>
    </row>
    <row r="1603" spans="1:2" x14ac:dyDescent="0.3">
      <c r="A1603" t="str">
        <f>"4UPRDAX7001"</f>
        <v>4UPRDAX7001</v>
      </c>
      <c r="B1603" t="s">
        <v>179</v>
      </c>
    </row>
    <row r="1604" spans="1:2" x14ac:dyDescent="0.3">
      <c r="A1604" t="str">
        <f>"5000699"</f>
        <v>5000699</v>
      </c>
      <c r="B1604" t="s">
        <v>3960</v>
      </c>
    </row>
    <row r="1605" spans="1:2" x14ac:dyDescent="0.3">
      <c r="A1605" t="str">
        <f>"500071-003"</f>
        <v>500071-003</v>
      </c>
      <c r="B1605" t="s">
        <v>11</v>
      </c>
    </row>
    <row r="1606" spans="1:2" x14ac:dyDescent="0.3">
      <c r="A1606" t="str">
        <f>"500-12Y"</f>
        <v>500-12Y</v>
      </c>
      <c r="B1606" t="s">
        <v>4404</v>
      </c>
    </row>
    <row r="1607" spans="1:2" x14ac:dyDescent="0.3">
      <c r="A1607" t="str">
        <f>"5002260"</f>
        <v>5002260</v>
      </c>
      <c r="B1607" t="s">
        <v>1251</v>
      </c>
    </row>
    <row r="1608" spans="1:2" x14ac:dyDescent="0.3">
      <c r="A1608" t="str">
        <f>"5002533"</f>
        <v>5002533</v>
      </c>
    </row>
    <row r="1609" spans="1:2" x14ac:dyDescent="0.3">
      <c r="A1609" t="str">
        <f>"5002534"</f>
        <v>5002534</v>
      </c>
    </row>
    <row r="1610" spans="1:2" x14ac:dyDescent="0.3">
      <c r="A1610" t="str">
        <f>"5002536"</f>
        <v>5002536</v>
      </c>
    </row>
    <row r="1611" spans="1:2" x14ac:dyDescent="0.3">
      <c r="A1611" t="str">
        <f>"500-27-07"</f>
        <v>500-27-07</v>
      </c>
      <c r="B1611" t="s">
        <v>3468</v>
      </c>
    </row>
    <row r="1612" spans="1:2" x14ac:dyDescent="0.3">
      <c r="A1612" t="str">
        <f>"5003874"</f>
        <v>5003874</v>
      </c>
      <c r="B1612" t="s">
        <v>3881</v>
      </c>
    </row>
    <row r="1613" spans="1:2" x14ac:dyDescent="0.3">
      <c r="A1613" t="str">
        <f>"5004438"</f>
        <v>5004438</v>
      </c>
      <c r="B1613" t="s">
        <v>3357</v>
      </c>
    </row>
    <row r="1614" spans="1:2" x14ac:dyDescent="0.3">
      <c r="A1614" t="str">
        <f>"5004CW"</f>
        <v>5004CW</v>
      </c>
      <c r="B1614" t="s">
        <v>11</v>
      </c>
    </row>
    <row r="1615" spans="1:2" x14ac:dyDescent="0.3">
      <c r="A1615" t="str">
        <f>"500507-003"</f>
        <v>500507-003</v>
      </c>
      <c r="B1615" t="s">
        <v>130</v>
      </c>
    </row>
    <row r="1616" spans="1:2" x14ac:dyDescent="0.3">
      <c r="A1616" t="str">
        <f>"5005-44"</f>
        <v>5005-44</v>
      </c>
      <c r="B1616" t="s">
        <v>1868</v>
      </c>
    </row>
    <row r="1617" spans="1:2" x14ac:dyDescent="0.3">
      <c r="A1617" t="str">
        <f>"50055-9"</f>
        <v>50055-9</v>
      </c>
      <c r="B1617" t="s">
        <v>2660</v>
      </c>
    </row>
    <row r="1618" spans="1:2" x14ac:dyDescent="0.3">
      <c r="A1618" t="str">
        <f>"5007046"</f>
        <v>5007046</v>
      </c>
      <c r="B1618" t="s">
        <v>3875</v>
      </c>
    </row>
    <row r="1619" spans="1:2" x14ac:dyDescent="0.3">
      <c r="A1619" t="str">
        <f>"5009-4-23"</f>
        <v>5009-4-23</v>
      </c>
      <c r="B1619" t="s">
        <v>1174</v>
      </c>
    </row>
    <row r="1620" spans="1:2" x14ac:dyDescent="0.3">
      <c r="A1620" t="str">
        <f>"5010117"</f>
        <v>5010117</v>
      </c>
      <c r="B1620" t="s">
        <v>3959</v>
      </c>
    </row>
    <row r="1621" spans="1:2" x14ac:dyDescent="0.3">
      <c r="A1621" t="str">
        <f>"5010521"</f>
        <v>5010521</v>
      </c>
      <c r="B1621" t="s">
        <v>1941</v>
      </c>
    </row>
    <row r="1622" spans="1:2" x14ac:dyDescent="0.3">
      <c r="A1622" t="str">
        <f>"5010540"</f>
        <v>5010540</v>
      </c>
      <c r="B1622" t="s">
        <v>1869</v>
      </c>
    </row>
    <row r="1623" spans="1:2" x14ac:dyDescent="0.3">
      <c r="A1623" t="str">
        <f>"5010544-2"</f>
        <v>5010544-2</v>
      </c>
      <c r="B1623" t="s">
        <v>3882</v>
      </c>
    </row>
    <row r="1624" spans="1:2" x14ac:dyDescent="0.3">
      <c r="A1624" t="str">
        <f>"5010546"</f>
        <v>5010546</v>
      </c>
      <c r="B1624" t="s">
        <v>1811</v>
      </c>
    </row>
    <row r="1625" spans="1:2" x14ac:dyDescent="0.3">
      <c r="A1625" t="str">
        <f>"5010566-1"</f>
        <v>5010566-1</v>
      </c>
      <c r="B1625" t="s">
        <v>128</v>
      </c>
    </row>
    <row r="1626" spans="1:2" x14ac:dyDescent="0.3">
      <c r="A1626" t="str">
        <f>"5010574"</f>
        <v>5010574</v>
      </c>
      <c r="B1626" t="s">
        <v>3244</v>
      </c>
    </row>
    <row r="1627" spans="1:2" x14ac:dyDescent="0.3">
      <c r="A1627" t="str">
        <f>"5010804"</f>
        <v>5010804</v>
      </c>
      <c r="B1627" t="s">
        <v>1814</v>
      </c>
    </row>
    <row r="1628" spans="1:2" x14ac:dyDescent="0.3">
      <c r="A1628" t="str">
        <f>"5010891"</f>
        <v>5010891</v>
      </c>
      <c r="B1628" t="s">
        <v>130</v>
      </c>
    </row>
    <row r="1629" spans="1:2" x14ac:dyDescent="0.3">
      <c r="A1629" t="str">
        <f>"5011-02-0001"</f>
        <v>5011-02-0001</v>
      </c>
      <c r="B1629" t="s">
        <v>136</v>
      </c>
    </row>
    <row r="1630" spans="1:2" x14ac:dyDescent="0.3">
      <c r="A1630" t="str">
        <f>"501151-006"</f>
        <v>501151-006</v>
      </c>
      <c r="B1630" t="s">
        <v>470</v>
      </c>
    </row>
    <row r="1631" spans="1:2" x14ac:dyDescent="0.3">
      <c r="A1631" t="str">
        <f>"5011948"</f>
        <v>5011948</v>
      </c>
      <c r="B1631" t="s">
        <v>128</v>
      </c>
    </row>
    <row r="1632" spans="1:2" x14ac:dyDescent="0.3">
      <c r="A1632" t="str">
        <f>"5013140-1"</f>
        <v>5013140-1</v>
      </c>
      <c r="B1632" t="s">
        <v>1803</v>
      </c>
    </row>
    <row r="1633" spans="1:2" x14ac:dyDescent="0.3">
      <c r="A1633" t="str">
        <f>"5013141-1"</f>
        <v>5013141-1</v>
      </c>
      <c r="B1633" t="s">
        <v>1803</v>
      </c>
    </row>
    <row r="1634" spans="1:2" x14ac:dyDescent="0.3">
      <c r="A1634" t="str">
        <f>"5013143-1"</f>
        <v>5013143-1</v>
      </c>
      <c r="B1634" t="s">
        <v>1803</v>
      </c>
    </row>
    <row r="1635" spans="1:2" x14ac:dyDescent="0.3">
      <c r="A1635" t="str">
        <f>"5013962"</f>
        <v>5013962</v>
      </c>
    </row>
    <row r="1636" spans="1:2" x14ac:dyDescent="0.3">
      <c r="A1636" t="str">
        <f>"5013CW"</f>
        <v>5013CW</v>
      </c>
      <c r="B1636" t="s">
        <v>11</v>
      </c>
    </row>
    <row r="1637" spans="1:2" x14ac:dyDescent="0.3">
      <c r="A1637" t="str">
        <f>"5013WW"</f>
        <v>5013WW</v>
      </c>
      <c r="B1637" t="s">
        <v>11</v>
      </c>
    </row>
    <row r="1638" spans="1:2" x14ac:dyDescent="0.3">
      <c r="A1638" t="str">
        <f>"5014023-1"</f>
        <v>5014023-1</v>
      </c>
      <c r="B1638" t="s">
        <v>1994</v>
      </c>
    </row>
    <row r="1639" spans="1:2" x14ac:dyDescent="0.3">
      <c r="A1639" t="str">
        <f>"5014025-1"</f>
        <v>5014025-1</v>
      </c>
      <c r="B1639" t="s">
        <v>151</v>
      </c>
    </row>
    <row r="1640" spans="1:2" x14ac:dyDescent="0.3">
      <c r="A1640" t="str">
        <f>"50141-001"</f>
        <v>50141-001</v>
      </c>
      <c r="B1640" t="s">
        <v>2914</v>
      </c>
    </row>
    <row r="1641" spans="1:2" x14ac:dyDescent="0.3">
      <c r="A1641" t="str">
        <f>"501483-001"</f>
        <v>501483-001</v>
      </c>
      <c r="B1641" t="s">
        <v>2017</v>
      </c>
    </row>
    <row r="1642" spans="1:2" x14ac:dyDescent="0.3">
      <c r="A1642" t="str">
        <f>"501490-001"</f>
        <v>501490-001</v>
      </c>
      <c r="B1642" t="s">
        <v>336</v>
      </c>
    </row>
    <row r="1643" spans="1:2" x14ac:dyDescent="0.3">
      <c r="A1643" t="str">
        <f>"5020G3442"</f>
        <v>5020G3442</v>
      </c>
      <c r="B1643" t="s">
        <v>2474</v>
      </c>
    </row>
    <row r="1644" spans="1:2" x14ac:dyDescent="0.3">
      <c r="A1644" t="str">
        <f>"502-222-001-603"</f>
        <v>502-222-001-603</v>
      </c>
      <c r="B1644" t="s">
        <v>261</v>
      </c>
    </row>
    <row r="1645" spans="1:2" x14ac:dyDescent="0.3">
      <c r="A1645" t="str">
        <f>"503-24-6-A"</f>
        <v>503-24-6-A</v>
      </c>
      <c r="B1645" t="s">
        <v>4802</v>
      </c>
    </row>
    <row r="1646" spans="1:2" x14ac:dyDescent="0.3">
      <c r="A1646" t="str">
        <f>"503-4970-001"</f>
        <v>503-4970-001</v>
      </c>
      <c r="B1646" t="s">
        <v>740</v>
      </c>
    </row>
    <row r="1647" spans="1:2" x14ac:dyDescent="0.3">
      <c r="A1647" t="str">
        <f>"504-0004-001"</f>
        <v>504-0004-001</v>
      </c>
      <c r="B1647" t="s">
        <v>1528</v>
      </c>
    </row>
    <row r="1648" spans="1:2" x14ac:dyDescent="0.3">
      <c r="A1648" t="str">
        <f>"504-0111-944"</f>
        <v>504-0111-944</v>
      </c>
      <c r="B1648" t="s">
        <v>797</v>
      </c>
    </row>
    <row r="1649" spans="1:2" x14ac:dyDescent="0.3">
      <c r="A1649" t="str">
        <f>"50-430018-11"</f>
        <v>50-430018-11</v>
      </c>
    </row>
    <row r="1650" spans="1:2" x14ac:dyDescent="0.3">
      <c r="A1650" t="str">
        <f>"50-430061-27"</f>
        <v>50-430061-27</v>
      </c>
    </row>
    <row r="1651" spans="1:2" x14ac:dyDescent="0.3">
      <c r="A1651" t="str">
        <f>"50-430177-5"</f>
        <v>50-430177-5</v>
      </c>
      <c r="B1651" t="s">
        <v>363</v>
      </c>
    </row>
    <row r="1652" spans="1:2" x14ac:dyDescent="0.3">
      <c r="A1652" t="str">
        <f>"505C61-8"</f>
        <v>505C61-8</v>
      </c>
      <c r="B1652" t="s">
        <v>1731</v>
      </c>
    </row>
    <row r="1653" spans="1:2" x14ac:dyDescent="0.3">
      <c r="A1653" t="str">
        <f>"505VR01SG50B000"</f>
        <v>505VR01SG50B000</v>
      </c>
      <c r="B1653" t="s">
        <v>338</v>
      </c>
    </row>
    <row r="1654" spans="1:2" x14ac:dyDescent="0.3">
      <c r="A1654" t="str">
        <f>"5065-08"</f>
        <v>5065-08</v>
      </c>
      <c r="B1654" t="s">
        <v>336</v>
      </c>
    </row>
    <row r="1655" spans="1:2" x14ac:dyDescent="0.3">
      <c r="A1655" t="str">
        <f>"50817"</f>
        <v>50817</v>
      </c>
      <c r="B1655" t="s">
        <v>1700</v>
      </c>
    </row>
    <row r="1656" spans="1:2" x14ac:dyDescent="0.3">
      <c r="A1656" t="str">
        <f>"50842"</f>
        <v>50842</v>
      </c>
      <c r="B1656" t="s">
        <v>13</v>
      </c>
    </row>
    <row r="1657" spans="1:2" x14ac:dyDescent="0.3">
      <c r="A1657" t="str">
        <f>"5100-00-9"</f>
        <v>5100-00-9</v>
      </c>
      <c r="B1657" t="s">
        <v>754</v>
      </c>
    </row>
    <row r="1658" spans="1:2" x14ac:dyDescent="0.3">
      <c r="A1658" t="str">
        <f>"510-0049"</f>
        <v>510-0049</v>
      </c>
      <c r="B1658" t="s">
        <v>13</v>
      </c>
    </row>
    <row r="1659" spans="1:2" x14ac:dyDescent="0.3">
      <c r="A1659" t="str">
        <f>"510-0144"</f>
        <v>510-0144</v>
      </c>
      <c r="B1659" t="s">
        <v>13</v>
      </c>
    </row>
    <row r="1660" spans="1:2" x14ac:dyDescent="0.3">
      <c r="A1660" t="str">
        <f>"5100-15"</f>
        <v>5100-15</v>
      </c>
      <c r="B1660" t="s">
        <v>4015</v>
      </c>
    </row>
    <row r="1661" spans="1:2" x14ac:dyDescent="0.3">
      <c r="A1661" t="str">
        <f>"5100-43H"</f>
        <v>5100-43H</v>
      </c>
      <c r="B1661" t="s">
        <v>173</v>
      </c>
    </row>
    <row r="1662" spans="1:2" x14ac:dyDescent="0.3">
      <c r="A1662" t="str">
        <f>"510213T65D1"</f>
        <v>510213T65D1</v>
      </c>
      <c r="B1662" t="s">
        <v>13</v>
      </c>
    </row>
    <row r="1663" spans="1:2" x14ac:dyDescent="0.3">
      <c r="A1663" t="str">
        <f>"510221P15C1"</f>
        <v>510221P15C1</v>
      </c>
    </row>
    <row r="1664" spans="1:2" x14ac:dyDescent="0.3">
      <c r="A1664" t="str">
        <f>"5105-37H"</f>
        <v>5105-37H</v>
      </c>
      <c r="B1664" t="s">
        <v>2286</v>
      </c>
    </row>
    <row r="1665" spans="1:2" x14ac:dyDescent="0.3">
      <c r="A1665" t="str">
        <f>"5106WW"</f>
        <v>5106WW</v>
      </c>
      <c r="B1665" t="s">
        <v>627</v>
      </c>
    </row>
    <row r="1666" spans="1:2" x14ac:dyDescent="0.3">
      <c r="A1666" t="str">
        <f>"510UN01A01A5"</f>
        <v>510UN01A01A5</v>
      </c>
      <c r="B1666" t="s">
        <v>13</v>
      </c>
    </row>
    <row r="1667" spans="1:2" x14ac:dyDescent="0.3">
      <c r="A1667" t="str">
        <f>"510UN01B51B8"</f>
        <v>510UN01B51B8</v>
      </c>
      <c r="B1667" t="s">
        <v>13</v>
      </c>
    </row>
    <row r="1668" spans="1:2" x14ac:dyDescent="0.3">
      <c r="A1668" t="str">
        <f>"511-0021"</f>
        <v>511-0021</v>
      </c>
      <c r="B1668" t="s">
        <v>13</v>
      </c>
    </row>
    <row r="1669" spans="1:2" x14ac:dyDescent="0.3">
      <c r="A1669" t="str">
        <f>"511-0328"</f>
        <v>511-0328</v>
      </c>
      <c r="B1669" t="s">
        <v>13</v>
      </c>
    </row>
    <row r="1670" spans="1:2" x14ac:dyDescent="0.3">
      <c r="A1670" t="str">
        <f>"511-0370"</f>
        <v>511-0370</v>
      </c>
      <c r="B1670" t="s">
        <v>3103</v>
      </c>
    </row>
    <row r="1671" spans="1:2" x14ac:dyDescent="0.3">
      <c r="A1671" t="str">
        <f>"511-0385"</f>
        <v>511-0385</v>
      </c>
      <c r="B1671" t="s">
        <v>13</v>
      </c>
    </row>
    <row r="1672" spans="1:2" x14ac:dyDescent="0.3">
      <c r="A1672" t="str">
        <f>"511-0430"</f>
        <v>511-0430</v>
      </c>
      <c r="B1672" t="s">
        <v>13</v>
      </c>
    </row>
    <row r="1673" spans="1:2" x14ac:dyDescent="0.3">
      <c r="A1673" t="str">
        <f>"5113WW"</f>
        <v>5113WW</v>
      </c>
      <c r="B1673" t="s">
        <v>11</v>
      </c>
    </row>
    <row r="1674" spans="1:2" x14ac:dyDescent="0.3">
      <c r="A1674" t="str">
        <f>"51144-0540"</f>
        <v>51144-0540</v>
      </c>
      <c r="B1674" t="s">
        <v>494</v>
      </c>
    </row>
    <row r="1675" spans="1:2" x14ac:dyDescent="0.3">
      <c r="A1675" t="str">
        <f>"511846-4"</f>
        <v>511846-4</v>
      </c>
      <c r="B1675" t="s">
        <v>353</v>
      </c>
    </row>
    <row r="1676" spans="1:2" x14ac:dyDescent="0.3">
      <c r="A1676" t="str">
        <f>"512-0011"</f>
        <v>512-0011</v>
      </c>
      <c r="B1676" t="s">
        <v>1309</v>
      </c>
    </row>
    <row r="1677" spans="1:2" x14ac:dyDescent="0.3">
      <c r="A1677" t="str">
        <f>"512-0012"</f>
        <v>512-0012</v>
      </c>
      <c r="B1677" t="s">
        <v>1261</v>
      </c>
    </row>
    <row r="1678" spans="1:2" x14ac:dyDescent="0.3">
      <c r="A1678" t="str">
        <f>"512-0013"</f>
        <v>512-0013</v>
      </c>
      <c r="B1678" t="s">
        <v>13</v>
      </c>
    </row>
    <row r="1679" spans="1:2" x14ac:dyDescent="0.3">
      <c r="A1679" t="str">
        <f>"512-0115"</f>
        <v>512-0115</v>
      </c>
      <c r="B1679" t="s">
        <v>1895</v>
      </c>
    </row>
    <row r="1680" spans="1:2" x14ac:dyDescent="0.3">
      <c r="A1680" t="str">
        <f>"512-0116"</f>
        <v>512-0116</v>
      </c>
      <c r="B1680" t="s">
        <v>13</v>
      </c>
    </row>
    <row r="1681" spans="1:2" x14ac:dyDescent="0.3">
      <c r="A1681" t="str">
        <f>"512-0124"</f>
        <v>512-0124</v>
      </c>
      <c r="B1681" t="s">
        <v>13</v>
      </c>
    </row>
    <row r="1682" spans="1:2" x14ac:dyDescent="0.3">
      <c r="A1682" t="str">
        <f>"512-0130"</f>
        <v>512-0130</v>
      </c>
      <c r="B1682" t="s">
        <v>13</v>
      </c>
    </row>
    <row r="1683" spans="1:2" x14ac:dyDescent="0.3">
      <c r="A1683" t="str">
        <f>"512J01N"</f>
        <v>512J01N</v>
      </c>
      <c r="B1683" t="s">
        <v>786</v>
      </c>
    </row>
    <row r="1684" spans="1:2" x14ac:dyDescent="0.3">
      <c r="A1684" t="str">
        <f>"513-0076"</f>
        <v>513-0076</v>
      </c>
      <c r="B1684" t="s">
        <v>13</v>
      </c>
    </row>
    <row r="1685" spans="1:2" x14ac:dyDescent="0.3">
      <c r="A1685" t="str">
        <f>"514-0011"</f>
        <v>514-0011</v>
      </c>
      <c r="B1685" t="s">
        <v>13</v>
      </c>
    </row>
    <row r="1686" spans="1:2" x14ac:dyDescent="0.3">
      <c r="A1686" t="str">
        <f>"514-0021"</f>
        <v>514-0021</v>
      </c>
      <c r="B1686" t="s">
        <v>1229</v>
      </c>
    </row>
    <row r="1687" spans="1:2" x14ac:dyDescent="0.3">
      <c r="A1687" t="str">
        <f>"514-0028"</f>
        <v>514-0028</v>
      </c>
      <c r="B1687" t="s">
        <v>129</v>
      </c>
    </row>
    <row r="1688" spans="1:2" x14ac:dyDescent="0.3">
      <c r="A1688" t="str">
        <f>"514-0036"</f>
        <v>514-0036</v>
      </c>
      <c r="B1688" t="s">
        <v>13</v>
      </c>
    </row>
    <row r="1689" spans="1:2" x14ac:dyDescent="0.3">
      <c r="A1689" t="str">
        <f>"514-0064"</f>
        <v>514-0064</v>
      </c>
      <c r="B1689" t="s">
        <v>13</v>
      </c>
    </row>
    <row r="1690" spans="1:2" x14ac:dyDescent="0.3">
      <c r="A1690" t="str">
        <f>"514-0091"</f>
        <v>514-0091</v>
      </c>
      <c r="B1690" t="s">
        <v>129</v>
      </c>
    </row>
    <row r="1691" spans="1:2" x14ac:dyDescent="0.3">
      <c r="A1691" t="str">
        <f>"514-0128"</f>
        <v>514-0128</v>
      </c>
      <c r="B1691" t="s">
        <v>13</v>
      </c>
    </row>
    <row r="1692" spans="1:2" x14ac:dyDescent="0.3">
      <c r="A1692" t="str">
        <f>"514-0278"</f>
        <v>514-0278</v>
      </c>
      <c r="B1692" t="s">
        <v>13</v>
      </c>
    </row>
    <row r="1693" spans="1:2" x14ac:dyDescent="0.3">
      <c r="A1693" t="str">
        <f>"514-0290"</f>
        <v>514-0290</v>
      </c>
      <c r="B1693" t="s">
        <v>13</v>
      </c>
    </row>
    <row r="1694" spans="1:2" x14ac:dyDescent="0.3">
      <c r="A1694" t="str">
        <f>"5141-45-1"</f>
        <v>5141-45-1</v>
      </c>
      <c r="B1694" t="s">
        <v>13</v>
      </c>
    </row>
    <row r="1695" spans="1:2" x14ac:dyDescent="0.3">
      <c r="A1695" t="str">
        <f>"515-0168"</f>
        <v>515-0168</v>
      </c>
      <c r="B1695" t="s">
        <v>676</v>
      </c>
    </row>
    <row r="1696" spans="1:2" x14ac:dyDescent="0.3">
      <c r="A1696" t="str">
        <f>"515295"</f>
        <v>515295</v>
      </c>
      <c r="B1696" t="s">
        <v>4341</v>
      </c>
    </row>
    <row r="1697" spans="1:2" x14ac:dyDescent="0.3">
      <c r="A1697" t="str">
        <f>"515489"</f>
        <v>515489</v>
      </c>
      <c r="B1697" t="s">
        <v>2539</v>
      </c>
    </row>
    <row r="1698" spans="1:2" x14ac:dyDescent="0.3">
      <c r="A1698" t="str">
        <f>"522-1087-06"</f>
        <v>522-1087-06</v>
      </c>
      <c r="B1698" t="s">
        <v>3383</v>
      </c>
    </row>
    <row r="1699" spans="1:2" x14ac:dyDescent="0.3">
      <c r="A1699" t="str">
        <f>"523399"</f>
        <v>523399</v>
      </c>
      <c r="B1699" t="s">
        <v>4128</v>
      </c>
    </row>
    <row r="1700" spans="1:2" x14ac:dyDescent="0.3">
      <c r="A1700" t="str">
        <f>"525VR01D1T36BNY"</f>
        <v>525VR01D1T36BNY</v>
      </c>
      <c r="B1700" t="s">
        <v>786</v>
      </c>
    </row>
    <row r="1701" spans="1:2" x14ac:dyDescent="0.3">
      <c r="A1701" t="str">
        <f>"526458"</f>
        <v>526458</v>
      </c>
      <c r="B1701" t="s">
        <v>4128</v>
      </c>
    </row>
    <row r="1702" spans="1:2" x14ac:dyDescent="0.3">
      <c r="A1702" t="str">
        <f>"5265"</f>
        <v>5265</v>
      </c>
      <c r="B1702" t="s">
        <v>2242</v>
      </c>
    </row>
    <row r="1703" spans="1:2" x14ac:dyDescent="0.3">
      <c r="A1703" t="str">
        <f>"528158"</f>
        <v>528158</v>
      </c>
      <c r="B1703" t="s">
        <v>4601</v>
      </c>
    </row>
    <row r="1704" spans="1:2" x14ac:dyDescent="0.3">
      <c r="A1704" t="str">
        <f>"52Z2278-064"</f>
        <v>52Z2278-064</v>
      </c>
      <c r="B1704" t="s">
        <v>246</v>
      </c>
    </row>
    <row r="1705" spans="1:2" x14ac:dyDescent="0.3">
      <c r="A1705" t="str">
        <f>"5300-1"</f>
        <v>5300-1</v>
      </c>
      <c r="B1705" t="s">
        <v>3044</v>
      </c>
    </row>
    <row r="1706" spans="1:2" x14ac:dyDescent="0.3">
      <c r="A1706" t="str">
        <f>"53-288"</f>
        <v>53-288</v>
      </c>
      <c r="B1706" t="s">
        <v>154</v>
      </c>
    </row>
    <row r="1707" spans="1:2" x14ac:dyDescent="0.3">
      <c r="A1707" t="str">
        <f>"53-321"</f>
        <v>53-321</v>
      </c>
      <c r="B1707" t="s">
        <v>3067</v>
      </c>
    </row>
    <row r="1708" spans="1:2" x14ac:dyDescent="0.3">
      <c r="A1708" t="str">
        <f>"53-345"</f>
        <v>53-345</v>
      </c>
      <c r="B1708" t="s">
        <v>154</v>
      </c>
    </row>
    <row r="1709" spans="1:2" x14ac:dyDescent="0.3">
      <c r="A1709" t="str">
        <f>"5340-1-1"</f>
        <v>5340-1-1</v>
      </c>
      <c r="B1709" t="s">
        <v>1908</v>
      </c>
    </row>
    <row r="1710" spans="1:2" x14ac:dyDescent="0.3">
      <c r="A1710" t="str">
        <f>"53-411"</f>
        <v>53-411</v>
      </c>
      <c r="B1710" t="s">
        <v>154</v>
      </c>
    </row>
    <row r="1711" spans="1:2" x14ac:dyDescent="0.3">
      <c r="A1711" t="str">
        <f>"5394-11600A952"</f>
        <v>5394-11600A952</v>
      </c>
      <c r="B1711" t="s">
        <v>132</v>
      </c>
    </row>
    <row r="1712" spans="1:2" x14ac:dyDescent="0.3">
      <c r="A1712" t="str">
        <f>"54010-931-1"</f>
        <v>54010-931-1</v>
      </c>
      <c r="B1712" t="s">
        <v>3115</v>
      </c>
    </row>
    <row r="1713" spans="1:2" x14ac:dyDescent="0.3">
      <c r="A1713" t="str">
        <f>"541-1046-01"</f>
        <v>541-1046-01</v>
      </c>
      <c r="B1713" t="s">
        <v>2768</v>
      </c>
    </row>
    <row r="1714" spans="1:2" x14ac:dyDescent="0.3">
      <c r="A1714" t="str">
        <f>"541-1060-01"</f>
        <v>541-1060-01</v>
      </c>
      <c r="B1714" t="s">
        <v>2766</v>
      </c>
    </row>
    <row r="1715" spans="1:2" x14ac:dyDescent="0.3">
      <c r="A1715" t="str">
        <f>"541520-21"</f>
        <v>541520-21</v>
      </c>
      <c r="B1715" t="s">
        <v>4812</v>
      </c>
    </row>
    <row r="1716" spans="1:2" x14ac:dyDescent="0.3">
      <c r="A1716" t="str">
        <f>"5-464-01"</f>
        <v>5-464-01</v>
      </c>
      <c r="B1716" t="s">
        <v>2884</v>
      </c>
    </row>
    <row r="1717" spans="1:2" x14ac:dyDescent="0.3">
      <c r="A1717" t="str">
        <f>"549-1548-01"</f>
        <v>549-1548-01</v>
      </c>
      <c r="B1717" t="s">
        <v>2473</v>
      </c>
    </row>
    <row r="1718" spans="1:2" x14ac:dyDescent="0.3">
      <c r="A1718" t="str">
        <f>"549-1548-02"</f>
        <v>549-1548-02</v>
      </c>
      <c r="B1718" t="s">
        <v>2473</v>
      </c>
    </row>
    <row r="1719" spans="1:2" x14ac:dyDescent="0.3">
      <c r="A1719" t="str">
        <f>"549-71"</f>
        <v>549-71</v>
      </c>
      <c r="B1719" t="s">
        <v>3053</v>
      </c>
    </row>
    <row r="1720" spans="1:2" x14ac:dyDescent="0.3">
      <c r="A1720" t="str">
        <f>"549-72"</f>
        <v>549-72</v>
      </c>
      <c r="B1720" t="s">
        <v>3053</v>
      </c>
    </row>
    <row r="1721" spans="1:2" x14ac:dyDescent="0.3">
      <c r="A1721" t="str">
        <f>"55-0221-1"</f>
        <v>55-0221-1</v>
      </c>
      <c r="B1721" t="s">
        <v>1228</v>
      </c>
    </row>
    <row r="1722" spans="1:2" x14ac:dyDescent="0.3">
      <c r="A1722" t="str">
        <f>"55-0283-3"</f>
        <v>55-0283-3</v>
      </c>
      <c r="B1722" t="s">
        <v>11</v>
      </c>
    </row>
    <row r="1723" spans="1:2" x14ac:dyDescent="0.3">
      <c r="A1723" t="str">
        <f>"55-0331-3"</f>
        <v>55-0331-3</v>
      </c>
      <c r="B1723" t="s">
        <v>11</v>
      </c>
    </row>
    <row r="1724" spans="1:2" x14ac:dyDescent="0.3">
      <c r="A1724" t="str">
        <f>"55-0392-1"</f>
        <v>55-0392-1</v>
      </c>
      <c r="B1724" t="s">
        <v>329</v>
      </c>
    </row>
    <row r="1725" spans="1:2" x14ac:dyDescent="0.3">
      <c r="A1725" t="str">
        <f>"55-0393-7"</f>
        <v>55-0393-7</v>
      </c>
      <c r="B1725" t="s">
        <v>449</v>
      </c>
    </row>
    <row r="1726" spans="1:2" x14ac:dyDescent="0.3">
      <c r="A1726" t="str">
        <f>"55-0396-1"</f>
        <v>55-0396-1</v>
      </c>
      <c r="B1726" t="s">
        <v>442</v>
      </c>
    </row>
    <row r="1727" spans="1:2" x14ac:dyDescent="0.3">
      <c r="A1727" t="str">
        <f>"55-0397-1"</f>
        <v>55-0397-1</v>
      </c>
      <c r="B1727" t="s">
        <v>328</v>
      </c>
    </row>
    <row r="1728" spans="1:2" x14ac:dyDescent="0.3">
      <c r="A1728" t="str">
        <f>"55-0713-5"</f>
        <v>55-0713-5</v>
      </c>
      <c r="B1728" t="s">
        <v>504</v>
      </c>
    </row>
    <row r="1729" spans="1:2" x14ac:dyDescent="0.3">
      <c r="A1729" t="str">
        <f>"55090618513BR"</f>
        <v>55090618513BR</v>
      </c>
      <c r="B1729" t="s">
        <v>133</v>
      </c>
    </row>
    <row r="1730" spans="1:2" x14ac:dyDescent="0.3">
      <c r="A1730" t="str">
        <f>"55-1908-1"</f>
        <v>55-1908-1</v>
      </c>
      <c r="B1730" t="s">
        <v>1528</v>
      </c>
    </row>
    <row r="1731" spans="1:2" x14ac:dyDescent="0.3">
      <c r="A1731" t="str">
        <f>"55-2335-3"</f>
        <v>55-2335-3</v>
      </c>
      <c r="B1731" t="s">
        <v>133</v>
      </c>
    </row>
    <row r="1732" spans="1:2" x14ac:dyDescent="0.3">
      <c r="A1732" t="str">
        <f>"55-2336-1"</f>
        <v>55-2336-1</v>
      </c>
      <c r="B1732" t="s">
        <v>2296</v>
      </c>
    </row>
    <row r="1733" spans="1:2" x14ac:dyDescent="0.3">
      <c r="A1733" t="str">
        <f>"553044"</f>
        <v>553044</v>
      </c>
      <c r="B1733" t="s">
        <v>492</v>
      </c>
    </row>
    <row r="1734" spans="1:2" x14ac:dyDescent="0.3">
      <c r="A1734" t="str">
        <f>"555012"</f>
        <v>555012</v>
      </c>
      <c r="B1734" t="s">
        <v>492</v>
      </c>
    </row>
    <row r="1735" spans="1:2" x14ac:dyDescent="0.3">
      <c r="A1735" t="str">
        <f>"555015"</f>
        <v>555015</v>
      </c>
      <c r="B1735" t="s">
        <v>1872</v>
      </c>
    </row>
    <row r="1736" spans="1:2" x14ac:dyDescent="0.3">
      <c r="A1736" t="str">
        <f>"555016"</f>
        <v>555016</v>
      </c>
      <c r="B1736" t="s">
        <v>1873</v>
      </c>
    </row>
    <row r="1737" spans="1:2" x14ac:dyDescent="0.3">
      <c r="A1737" t="str">
        <f>"555022"</f>
        <v>555022</v>
      </c>
      <c r="B1737" t="s">
        <v>153</v>
      </c>
    </row>
    <row r="1738" spans="1:2" x14ac:dyDescent="0.3">
      <c r="A1738" t="str">
        <f>"555023"</f>
        <v>555023</v>
      </c>
      <c r="B1738" t="s">
        <v>1791</v>
      </c>
    </row>
    <row r="1739" spans="1:2" x14ac:dyDescent="0.3">
      <c r="A1739" t="str">
        <f>"555033"</f>
        <v>555033</v>
      </c>
      <c r="B1739" t="s">
        <v>492</v>
      </c>
    </row>
    <row r="1740" spans="1:2" x14ac:dyDescent="0.3">
      <c r="A1740" t="str">
        <f>"555070"</f>
        <v>555070</v>
      </c>
      <c r="B1740" t="s">
        <v>1872</v>
      </c>
    </row>
    <row r="1741" spans="1:2" x14ac:dyDescent="0.3">
      <c r="A1741" t="str">
        <f>"555153"</f>
        <v>555153</v>
      </c>
      <c r="B1741" t="s">
        <v>1874</v>
      </c>
    </row>
    <row r="1742" spans="1:2" x14ac:dyDescent="0.3">
      <c r="A1742" t="str">
        <f>"55620-01"</f>
        <v>55620-01</v>
      </c>
      <c r="B1742" t="s">
        <v>173</v>
      </c>
    </row>
    <row r="1743" spans="1:2" x14ac:dyDescent="0.3">
      <c r="A1743" t="str">
        <f>"55620-02"</f>
        <v>55620-02</v>
      </c>
      <c r="B1743" t="s">
        <v>173</v>
      </c>
    </row>
    <row r="1744" spans="1:2" x14ac:dyDescent="0.3">
      <c r="A1744" t="str">
        <f>"557-1505-01"</f>
        <v>557-1505-01</v>
      </c>
      <c r="B1744" t="s">
        <v>2675</v>
      </c>
    </row>
    <row r="1745" spans="1:2" x14ac:dyDescent="0.3">
      <c r="A1745" t="str">
        <f>"557-1506-01"</f>
        <v>557-1506-01</v>
      </c>
      <c r="B1745" t="s">
        <v>2674</v>
      </c>
    </row>
    <row r="1746" spans="1:2" x14ac:dyDescent="0.3">
      <c r="A1746" t="str">
        <f>"558CA04A40Y00"</f>
        <v>558CA04A40Y00</v>
      </c>
      <c r="B1746" t="s">
        <v>3649</v>
      </c>
    </row>
    <row r="1747" spans="1:2" x14ac:dyDescent="0.3">
      <c r="A1747" t="str">
        <f>"559018"</f>
        <v>559018</v>
      </c>
      <c r="B1747" t="s">
        <v>635</v>
      </c>
    </row>
    <row r="1748" spans="1:2" x14ac:dyDescent="0.3">
      <c r="A1748" t="str">
        <f>"560-0102"</f>
        <v>560-0102</v>
      </c>
      <c r="B1748" t="s">
        <v>755</v>
      </c>
    </row>
    <row r="1749" spans="1:2" x14ac:dyDescent="0.3">
      <c r="A1749" t="str">
        <f>"560-0120"</f>
        <v>560-0120</v>
      </c>
      <c r="B1749" t="s">
        <v>504</v>
      </c>
    </row>
    <row r="1750" spans="1:2" x14ac:dyDescent="0.3">
      <c r="A1750" t="str">
        <f>"560-0123"</f>
        <v>560-0123</v>
      </c>
      <c r="B1750" t="s">
        <v>3349</v>
      </c>
    </row>
    <row r="1751" spans="1:2" x14ac:dyDescent="0.3">
      <c r="A1751" t="str">
        <f>"560-0124"</f>
        <v>560-0124</v>
      </c>
      <c r="B1751" t="s">
        <v>2629</v>
      </c>
    </row>
    <row r="1752" spans="1:2" x14ac:dyDescent="0.3">
      <c r="A1752" t="str">
        <f>"56066"</f>
        <v>56066</v>
      </c>
    </row>
    <row r="1753" spans="1:2" x14ac:dyDescent="0.3">
      <c r="A1753" t="str">
        <f>"560UN01B51A6"</f>
        <v>560UN01B51A6</v>
      </c>
      <c r="B1753" t="s">
        <v>13</v>
      </c>
    </row>
    <row r="1754" spans="1:2" x14ac:dyDescent="0.3">
      <c r="A1754" t="str">
        <f>"5610-354-145"</f>
        <v>5610-354-145</v>
      </c>
      <c r="B1754" t="s">
        <v>353</v>
      </c>
    </row>
    <row r="1755" spans="1:2" x14ac:dyDescent="0.3">
      <c r="A1755" t="str">
        <f>"56193-3-2"</f>
        <v>56193-3-2</v>
      </c>
      <c r="B1755" t="s">
        <v>4322</v>
      </c>
    </row>
    <row r="1756" spans="1:2" x14ac:dyDescent="0.3">
      <c r="A1756" t="str">
        <f>"5646AGKU93"</f>
        <v>5646AGKU93</v>
      </c>
      <c r="B1756" t="s">
        <v>13</v>
      </c>
    </row>
    <row r="1757" spans="1:2" x14ac:dyDescent="0.3">
      <c r="A1757" t="str">
        <f>"5656AGB2X408"</f>
        <v>5656AGB2X408</v>
      </c>
      <c r="B1757" t="s">
        <v>13</v>
      </c>
    </row>
    <row r="1758" spans="1:2" x14ac:dyDescent="0.3">
      <c r="A1758" t="str">
        <f>"56-992"</f>
        <v>56-992</v>
      </c>
      <c r="B1758" t="s">
        <v>4647</v>
      </c>
    </row>
    <row r="1759" spans="1:2" x14ac:dyDescent="0.3">
      <c r="A1759" t="str">
        <f>"56B94"</f>
        <v>56B94</v>
      </c>
      <c r="B1759" t="s">
        <v>886</v>
      </c>
    </row>
    <row r="1760" spans="1:2" x14ac:dyDescent="0.3">
      <c r="A1760" t="str">
        <f>"570357"</f>
        <v>570357</v>
      </c>
      <c r="B1760" t="s">
        <v>1217</v>
      </c>
    </row>
    <row r="1761" spans="1:2" x14ac:dyDescent="0.3">
      <c r="A1761" t="str">
        <f>"57091"</f>
        <v>57091</v>
      </c>
      <c r="B1761" t="s">
        <v>1772</v>
      </c>
    </row>
    <row r="1762" spans="1:2" x14ac:dyDescent="0.3">
      <c r="A1762" t="str">
        <f>"571-1601-01"</f>
        <v>571-1601-01</v>
      </c>
      <c r="B1762" t="s">
        <v>2767</v>
      </c>
    </row>
    <row r="1763" spans="1:2" x14ac:dyDescent="0.3">
      <c r="A1763" t="str">
        <f>"571-1603-02"</f>
        <v>571-1603-02</v>
      </c>
      <c r="B1763" t="s">
        <v>1879</v>
      </c>
    </row>
    <row r="1764" spans="1:2" x14ac:dyDescent="0.3">
      <c r="A1764" t="str">
        <f>"571-1620-01"</f>
        <v>571-1620-01</v>
      </c>
      <c r="B1764" t="s">
        <v>1879</v>
      </c>
    </row>
    <row r="1765" spans="1:2" x14ac:dyDescent="0.3">
      <c r="A1765" t="str">
        <f>"57141-1"</f>
        <v>57141-1</v>
      </c>
      <c r="B1765" t="s">
        <v>439</v>
      </c>
    </row>
    <row r="1766" spans="1:2" x14ac:dyDescent="0.3">
      <c r="A1766" t="str">
        <f>"57-143"</f>
        <v>57-143</v>
      </c>
      <c r="B1766" t="s">
        <v>2311</v>
      </c>
    </row>
    <row r="1767" spans="1:2" x14ac:dyDescent="0.3">
      <c r="A1767" t="str">
        <f>"5-71762-3003"</f>
        <v>5-71762-3003</v>
      </c>
      <c r="B1767" t="s">
        <v>4</v>
      </c>
    </row>
    <row r="1768" spans="1:2" x14ac:dyDescent="0.3">
      <c r="A1768" t="str">
        <f>"5-71762-3004"</f>
        <v>5-71762-3004</v>
      </c>
      <c r="B1768" t="s">
        <v>4</v>
      </c>
    </row>
    <row r="1769" spans="1:2" x14ac:dyDescent="0.3">
      <c r="A1769" t="str">
        <f>"57186-10"</f>
        <v>57186-10</v>
      </c>
      <c r="B1769" t="s">
        <v>864</v>
      </c>
    </row>
    <row r="1770" spans="1:2" x14ac:dyDescent="0.3">
      <c r="A1770" t="str">
        <f>"571-9411-02"</f>
        <v>571-9411-02</v>
      </c>
      <c r="B1770" t="s">
        <v>119</v>
      </c>
    </row>
    <row r="1771" spans="1:2" x14ac:dyDescent="0.3">
      <c r="A1771" t="str">
        <f>"571-9413-05"</f>
        <v>571-9413-05</v>
      </c>
      <c r="B1771" t="s">
        <v>119</v>
      </c>
    </row>
    <row r="1772" spans="1:2" x14ac:dyDescent="0.3">
      <c r="A1772" t="str">
        <f>"571-9419-01"</f>
        <v>571-9419-01</v>
      </c>
      <c r="B1772" t="s">
        <v>119</v>
      </c>
    </row>
    <row r="1773" spans="1:2" x14ac:dyDescent="0.3">
      <c r="A1773" t="str">
        <f>"571-9442-01"</f>
        <v>571-9442-01</v>
      </c>
      <c r="B1773" t="s">
        <v>119</v>
      </c>
    </row>
    <row r="1774" spans="1:2" x14ac:dyDescent="0.3">
      <c r="A1774" t="str">
        <f>"571-9474-01"</f>
        <v>571-9474-01</v>
      </c>
      <c r="B1774" t="s">
        <v>119</v>
      </c>
    </row>
    <row r="1775" spans="1:2" x14ac:dyDescent="0.3">
      <c r="A1775" t="str">
        <f>"571-9483-01"</f>
        <v>571-9483-01</v>
      </c>
      <c r="B1775" t="s">
        <v>119</v>
      </c>
    </row>
    <row r="1776" spans="1:2" x14ac:dyDescent="0.3">
      <c r="A1776" t="str">
        <f>"571-9484-01"</f>
        <v>571-9484-01</v>
      </c>
      <c r="B1776" t="s">
        <v>119</v>
      </c>
    </row>
    <row r="1777" spans="1:2" x14ac:dyDescent="0.3">
      <c r="A1777" t="str">
        <f>"572756-1"</f>
        <v>572756-1</v>
      </c>
      <c r="B1777" t="s">
        <v>863</v>
      </c>
    </row>
    <row r="1778" spans="1:2" x14ac:dyDescent="0.3">
      <c r="A1778" t="str">
        <f>"57406-824-1"</f>
        <v>57406-824-1</v>
      </c>
      <c r="B1778" t="s">
        <v>504</v>
      </c>
    </row>
    <row r="1779" spans="1:2" x14ac:dyDescent="0.3">
      <c r="A1779" t="str">
        <f>"5749639-1"</f>
        <v>5749639-1</v>
      </c>
      <c r="B1779" t="s">
        <v>22</v>
      </c>
    </row>
    <row r="1780" spans="1:2" x14ac:dyDescent="0.3">
      <c r="A1780" t="str">
        <f>"580001-003"</f>
        <v>580001-003</v>
      </c>
      <c r="B1780" t="s">
        <v>173</v>
      </c>
    </row>
    <row r="1781" spans="1:2" x14ac:dyDescent="0.3">
      <c r="A1781" t="str">
        <f>"58211A2B21C1D3F4L5N1(D)"</f>
        <v>58211A2B21C1D3F4L5N1(D)</v>
      </c>
    </row>
    <row r="1782" spans="1:2" x14ac:dyDescent="0.3">
      <c r="A1782" t="str">
        <f>"58224A4B21C3D3F43L405N1(G)"</f>
        <v>58224A4B21C3D3F43L405N1(G)</v>
      </c>
    </row>
    <row r="1783" spans="1:2" x14ac:dyDescent="0.3">
      <c r="A1783" t="str">
        <f>"58264A4B21C3D3F43L703N2(GRGR)"</f>
        <v>58264A4B21C3D3F43L703N2(GRGR)</v>
      </c>
    </row>
    <row r="1784" spans="1:2" x14ac:dyDescent="0.3">
      <c r="A1784" t="str">
        <f>"583-522-9103"</f>
        <v>583-522-9103</v>
      </c>
      <c r="B1784" t="s">
        <v>188</v>
      </c>
    </row>
    <row r="1785" spans="1:2" x14ac:dyDescent="0.3">
      <c r="A1785" t="s">
        <v>2124</v>
      </c>
      <c r="B1785" t="s">
        <v>2125</v>
      </c>
    </row>
    <row r="1786" spans="1:2" x14ac:dyDescent="0.3">
      <c r="A1786" t="str">
        <f>"58421A1B2C2D2F43L405N1(G)"</f>
        <v>58421A1B2C2D2F43L405N1(G)</v>
      </c>
    </row>
    <row r="1787" spans="1:2" x14ac:dyDescent="0.3">
      <c r="A1787" t="str">
        <f>"58861"</f>
        <v>58861</v>
      </c>
      <c r="B1787" t="s">
        <v>119</v>
      </c>
    </row>
    <row r="1788" spans="1:2" x14ac:dyDescent="0.3">
      <c r="A1788" t="str">
        <f>"5-89354-3109"</f>
        <v>5-89354-3109</v>
      </c>
      <c r="B1788" t="s">
        <v>2</v>
      </c>
    </row>
    <row r="1789" spans="1:2" x14ac:dyDescent="0.3">
      <c r="A1789" t="str">
        <f>"5-89354-3110"</f>
        <v>5-89354-3110</v>
      </c>
      <c r="B1789" t="s">
        <v>2</v>
      </c>
    </row>
    <row r="1790" spans="1:2" x14ac:dyDescent="0.3">
      <c r="A1790" t="str">
        <f>"5-89354-3139"</f>
        <v>5-89354-3139</v>
      </c>
      <c r="B1790" t="s">
        <v>2</v>
      </c>
    </row>
    <row r="1791" spans="1:2" x14ac:dyDescent="0.3">
      <c r="A1791" t="str">
        <f>"5-89354-3140"</f>
        <v>5-89354-3140</v>
      </c>
      <c r="B1791" t="s">
        <v>2</v>
      </c>
    </row>
    <row r="1792" spans="1:2" x14ac:dyDescent="0.3">
      <c r="A1792" t="str">
        <f>"5-89354-3149"</f>
        <v>5-89354-3149</v>
      </c>
      <c r="B1792" t="s">
        <v>2</v>
      </c>
    </row>
    <row r="1793" spans="1:2" x14ac:dyDescent="0.3">
      <c r="A1793" t="str">
        <f>"5-89354-3150"</f>
        <v>5-89354-3150</v>
      </c>
      <c r="B1793" t="s">
        <v>2</v>
      </c>
    </row>
    <row r="1794" spans="1:2" x14ac:dyDescent="0.3">
      <c r="A1794" t="str">
        <f>"5-89355-77"</f>
        <v>5-89355-77</v>
      </c>
      <c r="B1794" t="s">
        <v>2</v>
      </c>
    </row>
    <row r="1795" spans="1:2" x14ac:dyDescent="0.3">
      <c r="A1795" t="str">
        <f>"5-89355-78"</f>
        <v>5-89355-78</v>
      </c>
      <c r="B1795" t="s">
        <v>2</v>
      </c>
    </row>
    <row r="1796" spans="1:2" x14ac:dyDescent="0.3">
      <c r="A1796" t="str">
        <f>"5-89355-87"</f>
        <v>5-89355-87</v>
      </c>
      <c r="B1796" t="s">
        <v>4</v>
      </c>
    </row>
    <row r="1797" spans="1:2" x14ac:dyDescent="0.3">
      <c r="A1797" t="str">
        <f>"5-89355-88"</f>
        <v>5-89355-88</v>
      </c>
      <c r="B1797" t="s">
        <v>2</v>
      </c>
    </row>
    <row r="1798" spans="1:2" x14ac:dyDescent="0.3">
      <c r="A1798" t="str">
        <f>"5-89356-41"</f>
        <v>5-89356-41</v>
      </c>
      <c r="B1798" t="s">
        <v>4</v>
      </c>
    </row>
    <row r="1799" spans="1:2" x14ac:dyDescent="0.3">
      <c r="A1799" t="str">
        <f>"5-89356-42"</f>
        <v>5-89356-42</v>
      </c>
      <c r="B1799" t="s">
        <v>4</v>
      </c>
    </row>
    <row r="1800" spans="1:2" x14ac:dyDescent="0.3">
      <c r="A1800" t="str">
        <f>"5-89357-33"</f>
        <v>5-89357-33</v>
      </c>
      <c r="B1800" t="s">
        <v>2</v>
      </c>
    </row>
    <row r="1801" spans="1:2" x14ac:dyDescent="0.3">
      <c r="A1801" t="str">
        <f>"5-89357-34"</f>
        <v>5-89357-34</v>
      </c>
      <c r="B1801" t="s">
        <v>2</v>
      </c>
    </row>
    <row r="1802" spans="1:2" x14ac:dyDescent="0.3">
      <c r="A1802" t="str">
        <f>"5-89358-41"</f>
        <v>5-89358-41</v>
      </c>
      <c r="B1802" t="s">
        <v>2</v>
      </c>
    </row>
    <row r="1803" spans="1:2" x14ac:dyDescent="0.3">
      <c r="A1803" t="str">
        <f>"5-89358-42"</f>
        <v>5-89358-42</v>
      </c>
      <c r="B1803" t="s">
        <v>2</v>
      </c>
    </row>
    <row r="1804" spans="1:2" x14ac:dyDescent="0.3">
      <c r="A1804" t="str">
        <f>"590060-000"</f>
        <v>590060-000</v>
      </c>
      <c r="B1804" t="s">
        <v>154</v>
      </c>
    </row>
    <row r="1805" spans="1:2" x14ac:dyDescent="0.3">
      <c r="A1805" t="str">
        <f>"59025-030"</f>
        <v>59025-030</v>
      </c>
      <c r="B1805" t="s">
        <v>1273</v>
      </c>
    </row>
    <row r="1806" spans="1:2" x14ac:dyDescent="0.3">
      <c r="A1806" t="str">
        <f>"5909860-2"</f>
        <v>5909860-2</v>
      </c>
      <c r="B1806" t="s">
        <v>13</v>
      </c>
    </row>
    <row r="1807" spans="1:2" x14ac:dyDescent="0.3">
      <c r="A1807" t="str">
        <f>"591305-13"</f>
        <v>591305-13</v>
      </c>
      <c r="B1807" t="s">
        <v>391</v>
      </c>
    </row>
    <row r="1808" spans="1:2" x14ac:dyDescent="0.3">
      <c r="A1808" t="str">
        <f>"591305-8"</f>
        <v>591305-8</v>
      </c>
      <c r="B1808" t="s">
        <v>4099</v>
      </c>
    </row>
    <row r="1809" spans="1:2" x14ac:dyDescent="0.3">
      <c r="A1809" t="str">
        <f>"592590-1"</f>
        <v>592590-1</v>
      </c>
      <c r="B1809" t="s">
        <v>22</v>
      </c>
    </row>
    <row r="1810" spans="1:2" x14ac:dyDescent="0.3">
      <c r="A1810" t="str">
        <f>"592XS"</f>
        <v>592XS</v>
      </c>
      <c r="B1810" t="s">
        <v>132</v>
      </c>
    </row>
    <row r="1811" spans="1:2" x14ac:dyDescent="0.3">
      <c r="A1811" t="str">
        <f>"5934PD3A130"</f>
        <v>5934PD3A130</v>
      </c>
      <c r="B1811" t="s">
        <v>968</v>
      </c>
    </row>
    <row r="1812" spans="1:2" x14ac:dyDescent="0.3">
      <c r="A1812" t="str">
        <f>"595-0024"</f>
        <v>595-0024</v>
      </c>
      <c r="B1812" t="s">
        <v>1073</v>
      </c>
    </row>
    <row r="1813" spans="1:2" x14ac:dyDescent="0.3">
      <c r="A1813" t="str">
        <f>"59553-00"</f>
        <v>59553-00</v>
      </c>
      <c r="B1813" t="s">
        <v>116</v>
      </c>
    </row>
    <row r="1814" spans="1:2" x14ac:dyDescent="0.3">
      <c r="A1814" t="str">
        <f>"596-20629"</f>
        <v>596-20629</v>
      </c>
      <c r="B1814" t="s">
        <v>3371</v>
      </c>
    </row>
    <row r="1815" spans="1:2" x14ac:dyDescent="0.3">
      <c r="A1815" t="str">
        <f>"59688000"</f>
        <v>59688000</v>
      </c>
      <c r="B1815" t="s">
        <v>3719</v>
      </c>
    </row>
    <row r="1816" spans="1:2" x14ac:dyDescent="0.3">
      <c r="A1816" t="str">
        <f>"5W2091"</f>
        <v>5W2091</v>
      </c>
      <c r="B1816" t="s">
        <v>363</v>
      </c>
    </row>
    <row r="1817" spans="1:2" x14ac:dyDescent="0.3">
      <c r="A1817" t="str">
        <f>"5XE17"</f>
        <v>5XE17</v>
      </c>
      <c r="B1817" t="s">
        <v>13</v>
      </c>
    </row>
    <row r="1818" spans="1:2" x14ac:dyDescent="0.3">
      <c r="A1818" t="str">
        <f>"6001-0237"</f>
        <v>6001-0237</v>
      </c>
      <c r="B1818" t="s">
        <v>3640</v>
      </c>
    </row>
    <row r="1819" spans="1:2" x14ac:dyDescent="0.3">
      <c r="A1819" t="str">
        <f>"6001-0451"</f>
        <v>6001-0451</v>
      </c>
      <c r="B1819" t="s">
        <v>130</v>
      </c>
    </row>
    <row r="1820" spans="1:2" x14ac:dyDescent="0.3">
      <c r="A1820" t="str">
        <f>"600263-1"</f>
        <v>600263-1</v>
      </c>
      <c r="B1820" t="s">
        <v>3004</v>
      </c>
    </row>
    <row r="1821" spans="1:2" x14ac:dyDescent="0.3">
      <c r="A1821" t="str">
        <f>"600263-2"</f>
        <v>600263-2</v>
      </c>
      <c r="B1821" t="s">
        <v>3004</v>
      </c>
    </row>
    <row r="1822" spans="1:2" x14ac:dyDescent="0.3">
      <c r="A1822" t="str">
        <f>"6002ZZC4L665"</f>
        <v>6002ZZC4L665</v>
      </c>
      <c r="B1822" t="s">
        <v>119</v>
      </c>
    </row>
    <row r="1823" spans="1:2" x14ac:dyDescent="0.3">
      <c r="A1823" t="str">
        <f>"600-3130-3/8"</f>
        <v>600-3130-3/8</v>
      </c>
      <c r="B1823" t="s">
        <v>188</v>
      </c>
    </row>
    <row r="1824" spans="1:2" x14ac:dyDescent="0.3">
      <c r="A1824" t="str">
        <f>"600500-5"</f>
        <v>600500-5</v>
      </c>
      <c r="B1824" t="s">
        <v>2574</v>
      </c>
    </row>
    <row r="1825" spans="1:2" x14ac:dyDescent="0.3">
      <c r="A1825" t="str">
        <f>"600550-3"</f>
        <v>600550-3</v>
      </c>
      <c r="B1825" t="s">
        <v>4650</v>
      </c>
    </row>
    <row r="1826" spans="1:2" x14ac:dyDescent="0.3">
      <c r="A1826" t="str">
        <f>"600-80058-1"</f>
        <v>600-80058-1</v>
      </c>
      <c r="B1826" t="s">
        <v>336</v>
      </c>
    </row>
    <row r="1827" spans="1:2" x14ac:dyDescent="0.3">
      <c r="A1827" t="str">
        <f>"600-80059-1"</f>
        <v>600-80059-1</v>
      </c>
      <c r="B1827" t="s">
        <v>336</v>
      </c>
    </row>
    <row r="1828" spans="1:2" x14ac:dyDescent="0.3">
      <c r="A1828" t="str">
        <f>"60096"</f>
        <v>60096</v>
      </c>
      <c r="B1828" t="s">
        <v>336</v>
      </c>
    </row>
    <row r="1829" spans="1:2" x14ac:dyDescent="0.3">
      <c r="A1829" t="str">
        <f>"600-A08719-003"</f>
        <v>600-A08719-003</v>
      </c>
      <c r="B1829" t="s">
        <v>130</v>
      </c>
    </row>
    <row r="1830" spans="1:2" x14ac:dyDescent="0.3">
      <c r="A1830" t="str">
        <f>"600-A08889-001"</f>
        <v>600-A08889-001</v>
      </c>
      <c r="B1830" t="s">
        <v>1961</v>
      </c>
    </row>
    <row r="1831" spans="1:2" x14ac:dyDescent="0.3">
      <c r="A1831" t="str">
        <f>"600-A08889-002"</f>
        <v>600-A08889-002</v>
      </c>
      <c r="B1831" t="s">
        <v>200</v>
      </c>
    </row>
    <row r="1832" spans="1:2" x14ac:dyDescent="0.3">
      <c r="A1832" t="str">
        <f>"600A09411D"</f>
        <v>600A09411D</v>
      </c>
      <c r="B1832" t="s">
        <v>176</v>
      </c>
    </row>
    <row r="1833" spans="1:2" x14ac:dyDescent="0.3">
      <c r="A1833" t="str">
        <f>"600-A09411D"</f>
        <v>600-A09411D</v>
      </c>
      <c r="B1833" t="s">
        <v>176</v>
      </c>
    </row>
    <row r="1834" spans="1:2" x14ac:dyDescent="0.3">
      <c r="A1834" t="str">
        <f>"600-A09411E"</f>
        <v>600-A09411E</v>
      </c>
      <c r="B1834" t="s">
        <v>176</v>
      </c>
    </row>
    <row r="1835" spans="1:2" x14ac:dyDescent="0.3">
      <c r="A1835" t="str">
        <f>"600-A14075-002"</f>
        <v>600-A14075-002</v>
      </c>
      <c r="B1835" t="s">
        <v>470</v>
      </c>
    </row>
    <row r="1836" spans="1:2" x14ac:dyDescent="0.3">
      <c r="A1836" t="str">
        <f>"600-A15365-327"</f>
        <v>600-A15365-327</v>
      </c>
    </row>
    <row r="1837" spans="1:2" x14ac:dyDescent="0.3">
      <c r="A1837" t="str">
        <f>"600-A16097-001"</f>
        <v>600-A16097-001</v>
      </c>
      <c r="B1837" t="s">
        <v>1160</v>
      </c>
    </row>
    <row r="1838" spans="1:2" x14ac:dyDescent="0.3">
      <c r="A1838" t="str">
        <f>"600-A16097-007"</f>
        <v>600-A16097-007</v>
      </c>
      <c r="B1838" t="s">
        <v>4</v>
      </c>
    </row>
    <row r="1839" spans="1:2" x14ac:dyDescent="0.3">
      <c r="A1839" t="str">
        <f>"600-A16097-009"</f>
        <v>600-A16097-009</v>
      </c>
      <c r="B1839" t="s">
        <v>3099</v>
      </c>
    </row>
    <row r="1840" spans="1:2" x14ac:dyDescent="0.3">
      <c r="A1840" t="str">
        <f>"600-A16097-013"</f>
        <v>600-A16097-013</v>
      </c>
      <c r="B1840" t="s">
        <v>4</v>
      </c>
    </row>
    <row r="1841" spans="1:2" x14ac:dyDescent="0.3">
      <c r="A1841" t="str">
        <f>"600-A16097A-013"</f>
        <v>600-A16097A-013</v>
      </c>
      <c r="B1841" t="s">
        <v>4</v>
      </c>
    </row>
    <row r="1842" spans="1:2" x14ac:dyDescent="0.3">
      <c r="A1842" t="str">
        <f>"600-A16588A-003"</f>
        <v>600-A16588A-003</v>
      </c>
      <c r="B1842" t="s">
        <v>2090</v>
      </c>
    </row>
    <row r="1843" spans="1:2" x14ac:dyDescent="0.3">
      <c r="A1843" t="str">
        <f>"600-A18704-002"</f>
        <v>600-A18704-002</v>
      </c>
      <c r="B1843" t="s">
        <v>353</v>
      </c>
    </row>
    <row r="1844" spans="1:2" x14ac:dyDescent="0.3">
      <c r="A1844" t="str">
        <f>"600-A26824A-004"</f>
        <v>600-A26824A-004</v>
      </c>
      <c r="B1844" t="s">
        <v>1965</v>
      </c>
    </row>
    <row r="1845" spans="1:2" x14ac:dyDescent="0.3">
      <c r="A1845" t="str">
        <f>"600-A27349A"</f>
        <v>600-A27349A</v>
      </c>
      <c r="B1845" t="s">
        <v>1933</v>
      </c>
    </row>
    <row r="1846" spans="1:2" x14ac:dyDescent="0.3">
      <c r="A1846" t="str">
        <f>"600-A28265-023"</f>
        <v>600-A28265-023</v>
      </c>
      <c r="B1846" t="s">
        <v>1308</v>
      </c>
    </row>
    <row r="1847" spans="1:2" x14ac:dyDescent="0.3">
      <c r="A1847" t="str">
        <f>"600-A28265-029"</f>
        <v>600-A28265-029</v>
      </c>
      <c r="B1847" t="s">
        <v>2029</v>
      </c>
    </row>
    <row r="1848" spans="1:2" x14ac:dyDescent="0.3">
      <c r="A1848" t="str">
        <f>"600-A28308E-005"</f>
        <v>600-A28308E-005</v>
      </c>
      <c r="B1848" t="s">
        <v>116</v>
      </c>
    </row>
    <row r="1849" spans="1:2" x14ac:dyDescent="0.3">
      <c r="A1849" t="str">
        <f>"600-A28308E-012"</f>
        <v>600-A28308E-012</v>
      </c>
      <c r="B1849" t="s">
        <v>1072</v>
      </c>
    </row>
    <row r="1850" spans="1:2" x14ac:dyDescent="0.3">
      <c r="A1850" t="str">
        <f>"600-A28496C-005"</f>
        <v>600-A28496C-005</v>
      </c>
      <c r="B1850" t="s">
        <v>116</v>
      </c>
    </row>
    <row r="1851" spans="1:2" x14ac:dyDescent="0.3">
      <c r="A1851" t="str">
        <f>"600-A30915-022"</f>
        <v>600-A30915-022</v>
      </c>
    </row>
    <row r="1852" spans="1:2" x14ac:dyDescent="0.3">
      <c r="A1852" t="str">
        <f>"600-A31593"</f>
        <v>600-A31593</v>
      </c>
      <c r="B1852" t="s">
        <v>2620</v>
      </c>
    </row>
    <row r="1853" spans="1:2" x14ac:dyDescent="0.3">
      <c r="A1853" t="str">
        <f>"600-A34221A-008"</f>
        <v>600-A34221A-008</v>
      </c>
      <c r="B1853" t="s">
        <v>520</v>
      </c>
    </row>
    <row r="1854" spans="1:2" x14ac:dyDescent="0.3">
      <c r="A1854" t="str">
        <f>"600-A34500A"</f>
        <v>600-A34500A</v>
      </c>
      <c r="B1854" t="s">
        <v>439</v>
      </c>
    </row>
    <row r="1855" spans="1:2" x14ac:dyDescent="0.3">
      <c r="A1855" t="str">
        <f>"600-A36391"</f>
        <v>600-A36391</v>
      </c>
      <c r="B1855" t="s">
        <v>131</v>
      </c>
    </row>
    <row r="1856" spans="1:2" x14ac:dyDescent="0.3">
      <c r="A1856" t="str">
        <f>"600-A37973C-001"</f>
        <v>600-A37973C-001</v>
      </c>
      <c r="B1856" t="s">
        <v>1976</v>
      </c>
    </row>
    <row r="1857" spans="1:2" x14ac:dyDescent="0.3">
      <c r="A1857" t="str">
        <f>"600-A38573-002"</f>
        <v>600-A38573-002</v>
      </c>
      <c r="B1857" t="s">
        <v>4741</v>
      </c>
    </row>
    <row r="1858" spans="1:2" x14ac:dyDescent="0.3">
      <c r="A1858" t="str">
        <f>"600-A38716-002"</f>
        <v>600-A38716-002</v>
      </c>
      <c r="B1858" t="s">
        <v>3950</v>
      </c>
    </row>
    <row r="1859" spans="1:2" x14ac:dyDescent="0.3">
      <c r="A1859" t="str">
        <f>"600-A40928-001"</f>
        <v>600-A40928-001</v>
      </c>
      <c r="B1859" t="s">
        <v>136</v>
      </c>
    </row>
    <row r="1860" spans="1:2" x14ac:dyDescent="0.3">
      <c r="A1860" t="str">
        <f>"600-A40928-002"</f>
        <v>600-A40928-002</v>
      </c>
      <c r="B1860" t="s">
        <v>136</v>
      </c>
    </row>
    <row r="1861" spans="1:2" x14ac:dyDescent="0.3">
      <c r="A1861" t="str">
        <f>"600A43462"</f>
        <v>600A43462</v>
      </c>
      <c r="B1861" t="s">
        <v>751</v>
      </c>
    </row>
    <row r="1862" spans="1:2" x14ac:dyDescent="0.3">
      <c r="A1862" t="str">
        <f>"600A45058"</f>
        <v>600A45058</v>
      </c>
      <c r="B1862" t="s">
        <v>3335</v>
      </c>
    </row>
    <row r="1863" spans="1:2" x14ac:dyDescent="0.3">
      <c r="A1863" t="str">
        <f>"600-A45058"</f>
        <v>600-A45058</v>
      </c>
      <c r="B1863" t="s">
        <v>1074</v>
      </c>
    </row>
    <row r="1864" spans="1:2" x14ac:dyDescent="0.3">
      <c r="A1864" t="str">
        <f>"600-A45089"</f>
        <v>600-A45089</v>
      </c>
      <c r="B1864" t="s">
        <v>2619</v>
      </c>
    </row>
    <row r="1865" spans="1:2" x14ac:dyDescent="0.3">
      <c r="A1865" t="str">
        <f>"600A46232-005"</f>
        <v>600A46232-005</v>
      </c>
      <c r="B1865" t="s">
        <v>3132</v>
      </c>
    </row>
    <row r="1866" spans="1:2" x14ac:dyDescent="0.3">
      <c r="A1866" t="str">
        <f>"600-A46232-005"</f>
        <v>600-A46232-005</v>
      </c>
      <c r="B1866" t="s">
        <v>1975</v>
      </c>
    </row>
    <row r="1867" spans="1:2" x14ac:dyDescent="0.3">
      <c r="A1867" t="str">
        <f>"600-B30162-004"</f>
        <v>600-B30162-004</v>
      </c>
      <c r="B1867" t="s">
        <v>2694</v>
      </c>
    </row>
    <row r="1868" spans="1:2" x14ac:dyDescent="0.3">
      <c r="A1868" t="str">
        <f>"600-B39271-047"</f>
        <v>600-B39271-047</v>
      </c>
      <c r="B1868" t="s">
        <v>4333</v>
      </c>
    </row>
    <row r="1869" spans="1:2" x14ac:dyDescent="0.3">
      <c r="A1869" t="str">
        <f>"600-B39271-049"</f>
        <v>600-B39271-049</v>
      </c>
      <c r="B1869" t="s">
        <v>4332</v>
      </c>
    </row>
    <row r="1870" spans="1:2" x14ac:dyDescent="0.3">
      <c r="A1870" t="str">
        <f>"600-B39271-071"</f>
        <v>600-B39271-071</v>
      </c>
      <c r="B1870" t="s">
        <v>4334</v>
      </c>
    </row>
    <row r="1871" spans="1:2" x14ac:dyDescent="0.3">
      <c r="A1871" t="str">
        <f>"600-B43224A-005"</f>
        <v>600-B43224A-005</v>
      </c>
      <c r="B1871" t="s">
        <v>3590</v>
      </c>
    </row>
    <row r="1872" spans="1:2" x14ac:dyDescent="0.3">
      <c r="A1872" t="str">
        <f>"600-B43224A-017"</f>
        <v>600-B43224A-017</v>
      </c>
      <c r="B1872" t="s">
        <v>439</v>
      </c>
    </row>
    <row r="1873" spans="1:2" x14ac:dyDescent="0.3">
      <c r="A1873" t="str">
        <f>"60-1309-1"</f>
        <v>60-1309-1</v>
      </c>
      <c r="B1873" t="s">
        <v>116</v>
      </c>
    </row>
    <row r="1874" spans="1:2" x14ac:dyDescent="0.3">
      <c r="A1874" t="str">
        <f>"601EMA8"</f>
        <v>601EMA8</v>
      </c>
      <c r="B1874" t="s">
        <v>3929</v>
      </c>
    </row>
    <row r="1875" spans="1:2" x14ac:dyDescent="0.3">
      <c r="A1875" t="str">
        <f>"601R318127-3"</f>
        <v>601R318127-3</v>
      </c>
      <c r="B1875" t="s">
        <v>2566</v>
      </c>
    </row>
    <row r="1876" spans="1:2" x14ac:dyDescent="0.3">
      <c r="A1876" t="str">
        <f>"601R35216-5"</f>
        <v>601R35216-5</v>
      </c>
      <c r="B1876" t="s">
        <v>2060</v>
      </c>
    </row>
    <row r="1877" spans="1:2" x14ac:dyDescent="0.3">
      <c r="A1877" t="str">
        <f>"601R35216-6"</f>
        <v>601R35216-6</v>
      </c>
      <c r="B1877" t="s">
        <v>2060</v>
      </c>
    </row>
    <row r="1878" spans="1:2" x14ac:dyDescent="0.3">
      <c r="A1878" t="str">
        <f>"602EN1-6"</f>
        <v>602EN1-6</v>
      </c>
      <c r="B1878" t="s">
        <v>13</v>
      </c>
    </row>
    <row r="1879" spans="1:2" x14ac:dyDescent="0.3">
      <c r="A1879" t="str">
        <f>"602EN16-6"</f>
        <v>602EN16-6</v>
      </c>
      <c r="B1879" t="s">
        <v>13</v>
      </c>
    </row>
    <row r="1880" spans="1:2" x14ac:dyDescent="0.3">
      <c r="A1880" t="str">
        <f>"602EN16-6B"</f>
        <v>602EN16-6B</v>
      </c>
      <c r="B1880" t="s">
        <v>13</v>
      </c>
    </row>
    <row r="1881" spans="1:2" x14ac:dyDescent="0.3">
      <c r="A1881" t="str">
        <f>"602EN24-6B"</f>
        <v>602EN24-6B</v>
      </c>
      <c r="B1881" t="s">
        <v>13</v>
      </c>
    </row>
    <row r="1882" spans="1:2" x14ac:dyDescent="0.3">
      <c r="A1882" t="str">
        <f>"606C61-6"</f>
        <v>606C61-6</v>
      </c>
      <c r="B1882" t="s">
        <v>790</v>
      </c>
    </row>
    <row r="1883" spans="1:2" x14ac:dyDescent="0.3">
      <c r="A1883" t="str">
        <f>"60-864"</f>
        <v>60-864</v>
      </c>
      <c r="B1883" t="s">
        <v>130</v>
      </c>
    </row>
    <row r="1884" spans="1:2" x14ac:dyDescent="0.3">
      <c r="A1884" t="str">
        <f>"609604"</f>
        <v>609604</v>
      </c>
      <c r="B1884" t="s">
        <v>799</v>
      </c>
    </row>
    <row r="1885" spans="1:2" x14ac:dyDescent="0.3">
      <c r="A1885" t="str">
        <f>"6100192-000"</f>
        <v>6100192-000</v>
      </c>
      <c r="B1885" t="s">
        <v>2385</v>
      </c>
    </row>
    <row r="1886" spans="1:2" x14ac:dyDescent="0.3">
      <c r="A1886" t="str">
        <f>"6-1020"</f>
        <v>6-1020</v>
      </c>
      <c r="B1886" t="s">
        <v>181</v>
      </c>
    </row>
    <row r="1887" spans="1:2" x14ac:dyDescent="0.3">
      <c r="A1887" t="str">
        <f>"61098"</f>
        <v>61098</v>
      </c>
    </row>
    <row r="1888" spans="1:2" x14ac:dyDescent="0.3">
      <c r="A1888" t="str">
        <f>"61-1107-3"</f>
        <v>61-1107-3</v>
      </c>
      <c r="B1888" t="s">
        <v>402</v>
      </c>
    </row>
    <row r="1889" spans="1:2" x14ac:dyDescent="0.3">
      <c r="A1889" t="str">
        <f>"611132"</f>
        <v>611132</v>
      </c>
      <c r="B1889" t="s">
        <v>3241</v>
      </c>
    </row>
    <row r="1890" spans="1:2" x14ac:dyDescent="0.3">
      <c r="A1890" t="str">
        <f>"61183"</f>
        <v>61183</v>
      </c>
      <c r="B1890" t="s">
        <v>188</v>
      </c>
    </row>
    <row r="1891" spans="1:2" x14ac:dyDescent="0.3">
      <c r="A1891" t="str">
        <f>"612119"</f>
        <v>612119</v>
      </c>
      <c r="B1891" t="s">
        <v>3263</v>
      </c>
    </row>
    <row r="1892" spans="1:2" x14ac:dyDescent="0.3">
      <c r="A1892" t="str">
        <f>"612135-1"</f>
        <v>612135-1</v>
      </c>
    </row>
    <row r="1893" spans="1:2" x14ac:dyDescent="0.3">
      <c r="A1893" t="str">
        <f>"61-32155C3JH1902L917"</f>
        <v>61-32155C3JH1902L917</v>
      </c>
      <c r="B1893" t="s">
        <v>2746</v>
      </c>
    </row>
    <row r="1894" spans="1:2" x14ac:dyDescent="0.3">
      <c r="A1894" t="str">
        <f>"61-3750-1"</f>
        <v>61-3750-1</v>
      </c>
      <c r="B1894" t="s">
        <v>1652</v>
      </c>
    </row>
    <row r="1895" spans="1:2" x14ac:dyDescent="0.3">
      <c r="A1895" t="str">
        <f>"61-3775-1"</f>
        <v>61-3775-1</v>
      </c>
      <c r="B1895" t="s">
        <v>129</v>
      </c>
    </row>
    <row r="1896" spans="1:2" x14ac:dyDescent="0.3">
      <c r="A1896" t="str">
        <f>"614-0411A-0033A"</f>
        <v>614-0411A-0033A</v>
      </c>
      <c r="B1896" t="s">
        <v>494</v>
      </c>
    </row>
    <row r="1897" spans="1:2" x14ac:dyDescent="0.3">
      <c r="A1897" t="str">
        <f>"617-4262-006"</f>
        <v>617-4262-006</v>
      </c>
      <c r="B1897" t="s">
        <v>2220</v>
      </c>
    </row>
    <row r="1898" spans="1:2" x14ac:dyDescent="0.3">
      <c r="A1898" t="str">
        <f>"618-904-9001"</f>
        <v>618-904-9001</v>
      </c>
      <c r="B1898" t="s">
        <v>175</v>
      </c>
    </row>
    <row r="1899" spans="1:2" x14ac:dyDescent="0.3">
      <c r="A1899" t="str">
        <f>"62-0010-1"</f>
        <v>62-0010-1</v>
      </c>
      <c r="B1899" t="s">
        <v>18</v>
      </c>
    </row>
    <row r="1900" spans="1:2" x14ac:dyDescent="0.3">
      <c r="A1900" t="str">
        <f>"62-0066-1"</f>
        <v>62-0066-1</v>
      </c>
      <c r="B1900" t="s">
        <v>353</v>
      </c>
    </row>
    <row r="1901" spans="1:2" x14ac:dyDescent="0.3">
      <c r="A1901" t="str">
        <f>"62-0132-1"</f>
        <v>62-0132-1</v>
      </c>
      <c r="B1901" t="s">
        <v>143</v>
      </c>
    </row>
    <row r="1902" spans="1:2" x14ac:dyDescent="0.3">
      <c r="A1902" t="str">
        <f>"62-0209-1"</f>
        <v>62-0209-1</v>
      </c>
      <c r="B1902" t="s">
        <v>354</v>
      </c>
    </row>
    <row r="1903" spans="1:2" x14ac:dyDescent="0.3">
      <c r="A1903" t="str">
        <f>"62-0250-7"</f>
        <v>62-0250-7</v>
      </c>
      <c r="B1903" t="s">
        <v>471</v>
      </c>
    </row>
    <row r="1904" spans="1:2" x14ac:dyDescent="0.3">
      <c r="A1904" t="str">
        <f>"620-310"</f>
        <v>620-310</v>
      </c>
      <c r="B1904" t="s">
        <v>20</v>
      </c>
    </row>
    <row r="1905" spans="1:2" x14ac:dyDescent="0.3">
      <c r="A1905" t="str">
        <f>"62158-101"</f>
        <v>62158-101</v>
      </c>
      <c r="B1905" t="s">
        <v>4569</v>
      </c>
    </row>
    <row r="1906" spans="1:2" x14ac:dyDescent="0.3">
      <c r="A1906" t="str">
        <f>"62224"</f>
        <v>62224</v>
      </c>
      <c r="B1906" t="s">
        <v>336</v>
      </c>
    </row>
    <row r="1907" spans="1:2" x14ac:dyDescent="0.3">
      <c r="A1907" t="str">
        <f>"622-3890-021"</f>
        <v>622-3890-021</v>
      </c>
      <c r="B1907" t="s">
        <v>1613</v>
      </c>
    </row>
    <row r="1908" spans="1:2" x14ac:dyDescent="0.3">
      <c r="A1908" t="str">
        <f>"622-7878-201"</f>
        <v>622-7878-201</v>
      </c>
      <c r="B1908" t="s">
        <v>3654</v>
      </c>
    </row>
    <row r="1909" spans="1:2" x14ac:dyDescent="0.3">
      <c r="A1909" t="str">
        <f>"622-7999-013"</f>
        <v>622-7999-013</v>
      </c>
      <c r="B1909" t="s">
        <v>1915</v>
      </c>
    </row>
    <row r="1910" spans="1:2" x14ac:dyDescent="0.3">
      <c r="A1910" t="str">
        <f>"622-8001-350"</f>
        <v>622-8001-350</v>
      </c>
      <c r="B1910" t="s">
        <v>1904</v>
      </c>
    </row>
    <row r="1911" spans="1:2" x14ac:dyDescent="0.3">
      <c r="A1911" t="str">
        <f>"622-9436-101"</f>
        <v>622-9436-101</v>
      </c>
      <c r="B1911" t="s">
        <v>868</v>
      </c>
    </row>
    <row r="1912" spans="1:2" x14ac:dyDescent="0.3">
      <c r="A1912" t="str">
        <f>"6237M86B"</f>
        <v>6237M86B</v>
      </c>
      <c r="B1912" t="s">
        <v>511</v>
      </c>
    </row>
    <row r="1913" spans="1:2" x14ac:dyDescent="0.3">
      <c r="A1913" t="str">
        <f>"62417"</f>
        <v>62417</v>
      </c>
      <c r="B1913" t="s">
        <v>18</v>
      </c>
    </row>
    <row r="1914" spans="1:2" x14ac:dyDescent="0.3">
      <c r="A1914" t="str">
        <f>"6273-5"</f>
        <v>6273-5</v>
      </c>
      <c r="B1914" t="s">
        <v>264</v>
      </c>
    </row>
    <row r="1915" spans="1:2" x14ac:dyDescent="0.3">
      <c r="A1915" t="str">
        <f>"629-6711-002"</f>
        <v>629-6711-002</v>
      </c>
      <c r="B1915" t="s">
        <v>2710</v>
      </c>
    </row>
    <row r="1916" spans="1:2" x14ac:dyDescent="0.3">
      <c r="A1916" t="str">
        <f>"629675-1"</f>
        <v>629675-1</v>
      </c>
      <c r="B1916" t="s">
        <v>504</v>
      </c>
    </row>
    <row r="1917" spans="1:2" x14ac:dyDescent="0.3">
      <c r="A1917" t="str">
        <f>"629-7294-001"</f>
        <v>629-7294-001</v>
      </c>
      <c r="B1917" t="s">
        <v>1307</v>
      </c>
    </row>
    <row r="1918" spans="1:2" x14ac:dyDescent="0.3">
      <c r="A1918" t="str">
        <f>"629-7343-002"</f>
        <v>629-7343-002</v>
      </c>
      <c r="B1918" t="s">
        <v>489</v>
      </c>
    </row>
    <row r="1919" spans="1:2" x14ac:dyDescent="0.3">
      <c r="A1919" t="str">
        <f>"629-8012-001"</f>
        <v>629-8012-001</v>
      </c>
      <c r="B1919" t="s">
        <v>1746</v>
      </c>
    </row>
    <row r="1920" spans="1:2" x14ac:dyDescent="0.3">
      <c r="A1920" t="str">
        <f>"630-1001-005"</f>
        <v>630-1001-005</v>
      </c>
      <c r="B1920" t="s">
        <v>129</v>
      </c>
    </row>
    <row r="1921" spans="1:2" x14ac:dyDescent="0.3">
      <c r="A1921" t="str">
        <f>"630-1001-010"</f>
        <v>630-1001-010</v>
      </c>
      <c r="B1921" t="s">
        <v>4787</v>
      </c>
    </row>
    <row r="1922" spans="1:2" x14ac:dyDescent="0.3">
      <c r="A1922" t="str">
        <f>"630-1001-269"</f>
        <v>630-1001-269</v>
      </c>
      <c r="B1922" t="s">
        <v>129</v>
      </c>
    </row>
    <row r="1923" spans="1:2" x14ac:dyDescent="0.3">
      <c r="A1923" t="str">
        <f>"630-1001-271"</f>
        <v>630-1001-271</v>
      </c>
      <c r="B1923" t="s">
        <v>129</v>
      </c>
    </row>
    <row r="1924" spans="1:2" x14ac:dyDescent="0.3">
      <c r="A1924" t="str">
        <f>"630-1001-272"</f>
        <v>630-1001-272</v>
      </c>
      <c r="B1924" t="s">
        <v>4410</v>
      </c>
    </row>
    <row r="1925" spans="1:2" x14ac:dyDescent="0.3">
      <c r="A1925" t="str">
        <f>"630-1001-273"</f>
        <v>630-1001-273</v>
      </c>
      <c r="B1925" t="s">
        <v>4410</v>
      </c>
    </row>
    <row r="1926" spans="1:2" x14ac:dyDescent="0.3">
      <c r="A1926" t="str">
        <f>"630-1002-082"</f>
        <v>630-1002-082</v>
      </c>
      <c r="B1926" t="s">
        <v>1563</v>
      </c>
    </row>
    <row r="1927" spans="1:2" x14ac:dyDescent="0.3">
      <c r="A1927" t="str">
        <f>"632006-08"</f>
        <v>632006-08</v>
      </c>
      <c r="B1927" t="s">
        <v>173</v>
      </c>
    </row>
    <row r="1928" spans="1:2" x14ac:dyDescent="0.3">
      <c r="A1928" t="str">
        <f>"632006-10"</f>
        <v>632006-10</v>
      </c>
      <c r="B1928" t="s">
        <v>173</v>
      </c>
    </row>
    <row r="1929" spans="1:2" x14ac:dyDescent="0.3">
      <c r="A1929" t="str">
        <f>"632006-22"</f>
        <v>632006-22</v>
      </c>
      <c r="B1929" t="s">
        <v>173</v>
      </c>
    </row>
    <row r="1930" spans="1:2" x14ac:dyDescent="0.3">
      <c r="A1930" t="str">
        <f>"632009"</f>
        <v>632009</v>
      </c>
      <c r="B1930" t="s">
        <v>1355</v>
      </c>
    </row>
    <row r="1931" spans="1:2" x14ac:dyDescent="0.3">
      <c r="A1931" t="str">
        <f>"63275-003"</f>
        <v>63275-003</v>
      </c>
      <c r="B1931" t="s">
        <v>1268</v>
      </c>
    </row>
    <row r="1932" spans="1:2" x14ac:dyDescent="0.3">
      <c r="A1932" t="str">
        <f>"63287-000"</f>
        <v>63287-000</v>
      </c>
      <c r="B1932" t="s">
        <v>1491</v>
      </c>
    </row>
    <row r="1933" spans="1:2" x14ac:dyDescent="0.3">
      <c r="A1933" t="str">
        <f>"6335003-17C"</f>
        <v>6335003-17C</v>
      </c>
      <c r="B1933" t="s">
        <v>188</v>
      </c>
    </row>
    <row r="1934" spans="1:2" x14ac:dyDescent="0.3">
      <c r="A1934" t="str">
        <f>"634-0064-001"</f>
        <v>634-0064-001</v>
      </c>
      <c r="B1934" t="s">
        <v>470</v>
      </c>
    </row>
    <row r="1935" spans="1:2" x14ac:dyDescent="0.3">
      <c r="A1935" t="str">
        <f>"634-3312-001"</f>
        <v>634-3312-001</v>
      </c>
      <c r="B1935" t="s">
        <v>635</v>
      </c>
    </row>
    <row r="1936" spans="1:2" x14ac:dyDescent="0.3">
      <c r="A1936" t="str">
        <f>"63-542"</f>
        <v>63-542</v>
      </c>
      <c r="B1936" t="s">
        <v>246</v>
      </c>
    </row>
    <row r="1937" spans="1:2" x14ac:dyDescent="0.3">
      <c r="A1937" t="str">
        <f>"6364-00"</f>
        <v>6364-00</v>
      </c>
      <c r="B1937" t="s">
        <v>536</v>
      </c>
    </row>
    <row r="1938" spans="1:2" x14ac:dyDescent="0.3">
      <c r="A1938" t="str">
        <f>"637"</f>
        <v>637</v>
      </c>
      <c r="B1938" t="s">
        <v>1090</v>
      </c>
    </row>
    <row r="1939" spans="1:2" x14ac:dyDescent="0.3">
      <c r="A1939" t="str">
        <f>"6370-00"</f>
        <v>6370-00</v>
      </c>
      <c r="B1939" t="s">
        <v>535</v>
      </c>
    </row>
    <row r="1940" spans="1:2" x14ac:dyDescent="0.3">
      <c r="A1940" t="str">
        <f>"64062-1"</f>
        <v>64062-1</v>
      </c>
      <c r="B1940" t="s">
        <v>4052</v>
      </c>
    </row>
    <row r="1941" spans="1:2" x14ac:dyDescent="0.3">
      <c r="A1941" t="str">
        <f>"641-8914-001"</f>
        <v>641-8914-001</v>
      </c>
      <c r="B1941" t="s">
        <v>741</v>
      </c>
    </row>
    <row r="1942" spans="1:2" x14ac:dyDescent="0.3">
      <c r="A1942" t="str">
        <f>"64197-101"</f>
        <v>64197-101</v>
      </c>
      <c r="B1942" t="s">
        <v>4318</v>
      </c>
    </row>
    <row r="1943" spans="1:2" x14ac:dyDescent="0.3">
      <c r="A1943" t="str">
        <f>"64300-200"</f>
        <v>64300-200</v>
      </c>
      <c r="B1943" t="s">
        <v>533</v>
      </c>
    </row>
    <row r="1944" spans="1:2" x14ac:dyDescent="0.3">
      <c r="A1944" t="str">
        <f>"64300-300"</f>
        <v>64300-300</v>
      </c>
      <c r="B1944" t="s">
        <v>533</v>
      </c>
    </row>
    <row r="1945" spans="1:2" x14ac:dyDescent="0.3">
      <c r="A1945" t="str">
        <f>"6430589-1"</f>
        <v>6430589-1</v>
      </c>
      <c r="B1945" t="s">
        <v>132</v>
      </c>
    </row>
    <row r="1946" spans="1:2" x14ac:dyDescent="0.3">
      <c r="A1946" t="str">
        <f>"6430A"</f>
        <v>6430A</v>
      </c>
      <c r="B1946" t="s">
        <v>2624</v>
      </c>
    </row>
    <row r="1947" spans="1:2" x14ac:dyDescent="0.3">
      <c r="A1947" t="str">
        <f>"64400-200"</f>
        <v>64400-200</v>
      </c>
      <c r="B1947" t="s">
        <v>533</v>
      </c>
    </row>
    <row r="1948" spans="1:2" x14ac:dyDescent="0.3">
      <c r="A1948" t="str">
        <f>"645055-3"</f>
        <v>645055-3</v>
      </c>
      <c r="B1948" t="s">
        <v>867</v>
      </c>
    </row>
    <row r="1949" spans="1:2" x14ac:dyDescent="0.3">
      <c r="A1949" t="str">
        <f>"645405-1"</f>
        <v>645405-1</v>
      </c>
    </row>
    <row r="1950" spans="1:2" x14ac:dyDescent="0.3">
      <c r="A1950" t="str">
        <f>"646-0087-003"</f>
        <v>646-0087-003</v>
      </c>
      <c r="B1950" t="s">
        <v>1466</v>
      </c>
    </row>
    <row r="1951" spans="1:2" x14ac:dyDescent="0.3">
      <c r="A1951" t="str">
        <f>"64761-079-103"</f>
        <v>64761-079-103</v>
      </c>
      <c r="B1951" t="s">
        <v>483</v>
      </c>
    </row>
    <row r="1952" spans="1:2" x14ac:dyDescent="0.3">
      <c r="A1952" t="str">
        <f>"649-302-020-0"</f>
        <v>649-302-020-0</v>
      </c>
      <c r="B1952" t="s">
        <v>1551</v>
      </c>
    </row>
    <row r="1953" spans="1:2" x14ac:dyDescent="0.3">
      <c r="A1953" t="str">
        <f>"64AT22-3"</f>
        <v>64AT22-3</v>
      </c>
      <c r="B1953" t="s">
        <v>13</v>
      </c>
    </row>
    <row r="1954" spans="1:2" x14ac:dyDescent="0.3">
      <c r="A1954" t="str">
        <f>"64AT22-3D"</f>
        <v>64AT22-3D</v>
      </c>
      <c r="B1954" t="s">
        <v>13</v>
      </c>
    </row>
    <row r="1955" spans="1:2" x14ac:dyDescent="0.3">
      <c r="A1955" t="str">
        <f>"64AT23-1A"</f>
        <v>64AT23-1A</v>
      </c>
      <c r="B1955" t="s">
        <v>13</v>
      </c>
    </row>
    <row r="1956" spans="1:2" x14ac:dyDescent="0.3">
      <c r="A1956" t="str">
        <f>"64AT600-3"</f>
        <v>64AT600-3</v>
      </c>
      <c r="B1956" t="s">
        <v>13</v>
      </c>
    </row>
    <row r="1957" spans="1:2" x14ac:dyDescent="0.3">
      <c r="A1957" t="str">
        <f>"64AT601-3"</f>
        <v>64AT601-3</v>
      </c>
      <c r="B1957" t="s">
        <v>13</v>
      </c>
    </row>
    <row r="1958" spans="1:2" x14ac:dyDescent="0.3">
      <c r="A1958" t="str">
        <f>"64C0250-09"</f>
        <v>64C0250-09</v>
      </c>
      <c r="B1958" t="s">
        <v>4063</v>
      </c>
    </row>
    <row r="1959" spans="1:2" x14ac:dyDescent="0.3">
      <c r="A1959" t="str">
        <f>"65019-101"</f>
        <v>65019-101</v>
      </c>
      <c r="B1959" t="s">
        <v>4317</v>
      </c>
    </row>
    <row r="1960" spans="1:2" x14ac:dyDescent="0.3">
      <c r="A1960" t="str">
        <f>"65-0294-23"</f>
        <v>65-0294-23</v>
      </c>
      <c r="B1960" t="s">
        <v>875</v>
      </c>
    </row>
    <row r="1961" spans="1:2" x14ac:dyDescent="0.3">
      <c r="A1961" t="str">
        <f>"65-16323-31"</f>
        <v>65-16323-31</v>
      </c>
      <c r="B1961" t="s">
        <v>4</v>
      </c>
    </row>
    <row r="1962" spans="1:2" x14ac:dyDescent="0.3">
      <c r="A1962" t="str">
        <f>"65-16323-32"</f>
        <v>65-16323-32</v>
      </c>
      <c r="B1962" t="s">
        <v>4</v>
      </c>
    </row>
    <row r="1963" spans="1:2" x14ac:dyDescent="0.3">
      <c r="A1963" t="str">
        <f>"65-16323-33"</f>
        <v>65-16323-33</v>
      </c>
      <c r="B1963" t="s">
        <v>4</v>
      </c>
    </row>
    <row r="1964" spans="1:2" x14ac:dyDescent="0.3">
      <c r="A1964" t="str">
        <f>"65-16323-34"</f>
        <v>65-16323-34</v>
      </c>
      <c r="B1964" t="s">
        <v>1</v>
      </c>
    </row>
    <row r="1965" spans="1:2" x14ac:dyDescent="0.3">
      <c r="A1965" t="str">
        <f>"65-33298-2"</f>
        <v>65-33298-2</v>
      </c>
      <c r="B1965" t="s">
        <v>1213</v>
      </c>
    </row>
    <row r="1966" spans="1:2" x14ac:dyDescent="0.3">
      <c r="A1966" t="str">
        <f>"653-4285-001"</f>
        <v>653-4285-001</v>
      </c>
      <c r="B1966" t="s">
        <v>4379</v>
      </c>
    </row>
    <row r="1967" spans="1:2" x14ac:dyDescent="0.3">
      <c r="A1967" t="str">
        <f>"65-430087"</f>
        <v>65-430087</v>
      </c>
      <c r="B1967" t="s">
        <v>4201</v>
      </c>
    </row>
    <row r="1968" spans="1:2" x14ac:dyDescent="0.3">
      <c r="A1968" t="str">
        <f>"65-44541-3057"</f>
        <v>65-44541-3057</v>
      </c>
      <c r="B1968" t="s">
        <v>1982</v>
      </c>
    </row>
    <row r="1969" spans="1:2" x14ac:dyDescent="0.3">
      <c r="A1969" t="str">
        <f>"65-44548-3198"</f>
        <v>65-44548-3198</v>
      </c>
      <c r="B1969" t="s">
        <v>1904</v>
      </c>
    </row>
    <row r="1970" spans="1:2" x14ac:dyDescent="0.3">
      <c r="A1970" t="str">
        <f>"65-44710-4"</f>
        <v>65-44710-4</v>
      </c>
      <c r="B1970" t="s">
        <v>1544</v>
      </c>
    </row>
    <row r="1971" spans="1:2" x14ac:dyDescent="0.3">
      <c r="A1971" t="str">
        <f>"65-45314-58"</f>
        <v>65-45314-58</v>
      </c>
      <c r="B1971" t="s">
        <v>878</v>
      </c>
    </row>
    <row r="1972" spans="1:2" x14ac:dyDescent="0.3">
      <c r="A1972" t="str">
        <f>"65-45487-7"</f>
        <v>65-45487-7</v>
      </c>
      <c r="B1972" t="s">
        <v>1760</v>
      </c>
    </row>
    <row r="1973" spans="1:2" x14ac:dyDescent="0.3">
      <c r="A1973" t="str">
        <f>"65-46481-3"</f>
        <v>65-46481-3</v>
      </c>
      <c r="B1973" t="s">
        <v>381</v>
      </c>
    </row>
    <row r="1974" spans="1:2" x14ac:dyDescent="0.3">
      <c r="A1974" t="str">
        <f>"65-46481-4"</f>
        <v>65-46481-4</v>
      </c>
      <c r="B1974" t="s">
        <v>381</v>
      </c>
    </row>
    <row r="1975" spans="1:2" x14ac:dyDescent="0.3">
      <c r="A1975" t="str">
        <f>"65-46481-5"</f>
        <v>65-46481-5</v>
      </c>
      <c r="B1975" t="s">
        <v>353</v>
      </c>
    </row>
    <row r="1976" spans="1:2" x14ac:dyDescent="0.3">
      <c r="A1976" t="str">
        <f>"65-46481-6"</f>
        <v>65-46481-6</v>
      </c>
      <c r="B1976" t="s">
        <v>393</v>
      </c>
    </row>
    <row r="1977" spans="1:2" x14ac:dyDescent="0.3">
      <c r="A1977" t="str">
        <f>"65-49571-21"</f>
        <v>65-49571-21</v>
      </c>
      <c r="B1977" t="s">
        <v>336</v>
      </c>
    </row>
    <row r="1978" spans="1:2" x14ac:dyDescent="0.3">
      <c r="A1978" t="str">
        <f>"65-49571-22"</f>
        <v>65-49571-22</v>
      </c>
      <c r="B1978" t="s">
        <v>336</v>
      </c>
    </row>
    <row r="1979" spans="1:2" x14ac:dyDescent="0.3">
      <c r="A1979" t="str">
        <f>"654T0035-23"</f>
        <v>654T0035-23</v>
      </c>
      <c r="B1979" t="s">
        <v>2011</v>
      </c>
    </row>
    <row r="1980" spans="1:2" x14ac:dyDescent="0.3">
      <c r="A1980" t="str">
        <f>"65-51586-6"</f>
        <v>65-51586-6</v>
      </c>
      <c r="B1980" t="s">
        <v>947</v>
      </c>
    </row>
    <row r="1981" spans="1:2" x14ac:dyDescent="0.3">
      <c r="A1981" t="str">
        <f>"65-51586-7"</f>
        <v>65-51586-7</v>
      </c>
      <c r="B1981" t="s">
        <v>947</v>
      </c>
    </row>
    <row r="1982" spans="1:2" x14ac:dyDescent="0.3">
      <c r="A1982" t="str">
        <f>"65-52808-3"</f>
        <v>65-52808-3</v>
      </c>
      <c r="B1982" t="s">
        <v>2097</v>
      </c>
    </row>
    <row r="1983" spans="1:2" x14ac:dyDescent="0.3">
      <c r="A1983" t="str">
        <f>"65-52810-57"</f>
        <v>65-52810-57</v>
      </c>
      <c r="B1983" t="s">
        <v>1538</v>
      </c>
    </row>
    <row r="1984" spans="1:2" x14ac:dyDescent="0.3">
      <c r="A1984" t="str">
        <f>"65-52822-7"</f>
        <v>65-52822-7</v>
      </c>
      <c r="B1984" t="s">
        <v>1539</v>
      </c>
    </row>
    <row r="1985" spans="1:2" x14ac:dyDescent="0.3">
      <c r="A1985" t="str">
        <f>"65-53875-19"</f>
        <v>65-53875-19</v>
      </c>
      <c r="B1985" t="s">
        <v>336</v>
      </c>
    </row>
    <row r="1986" spans="1:2" x14ac:dyDescent="0.3">
      <c r="A1986" t="str">
        <f>"65-59359-90"</f>
        <v>65-59359-90</v>
      </c>
      <c r="B1986" t="s">
        <v>1540</v>
      </c>
    </row>
    <row r="1987" spans="1:2" x14ac:dyDescent="0.3">
      <c r="A1987" t="str">
        <f>"65-73606-170"</f>
        <v>65-73606-170</v>
      </c>
      <c r="B1987" t="s">
        <v>2091</v>
      </c>
    </row>
    <row r="1988" spans="1:2" x14ac:dyDescent="0.3">
      <c r="A1988" t="str">
        <f>"65-76765-10"</f>
        <v>65-76765-10</v>
      </c>
      <c r="B1988" t="s">
        <v>132</v>
      </c>
    </row>
    <row r="1989" spans="1:2" x14ac:dyDescent="0.3">
      <c r="A1989" t="str">
        <f>"659-0148-009"</f>
        <v>659-0148-009</v>
      </c>
      <c r="B1989" t="s">
        <v>2817</v>
      </c>
    </row>
    <row r="1990" spans="1:2" x14ac:dyDescent="0.3">
      <c r="A1990" t="str">
        <f>"65-90305-15"</f>
        <v>65-90305-15</v>
      </c>
      <c r="B1990" t="s">
        <v>634</v>
      </c>
    </row>
    <row r="1991" spans="1:2" x14ac:dyDescent="0.3">
      <c r="A1991" t="str">
        <f>"65-90305-18"</f>
        <v>65-90305-18</v>
      </c>
      <c r="B1991" t="s">
        <v>634</v>
      </c>
    </row>
    <row r="1992" spans="1:2" x14ac:dyDescent="0.3">
      <c r="A1992" t="str">
        <f>"65-90305-20A"</f>
        <v>65-90305-20A</v>
      </c>
      <c r="B1992" t="s">
        <v>634</v>
      </c>
    </row>
    <row r="1993" spans="1:2" x14ac:dyDescent="0.3">
      <c r="A1993" t="str">
        <f>"65-90305-20B"</f>
        <v>65-90305-20B</v>
      </c>
      <c r="B1993" t="s">
        <v>634</v>
      </c>
    </row>
    <row r="1994" spans="1:2" x14ac:dyDescent="0.3">
      <c r="A1994" t="str">
        <f>"65-90305-21A"</f>
        <v>65-90305-21A</v>
      </c>
      <c r="B1994" t="s">
        <v>634</v>
      </c>
    </row>
    <row r="1995" spans="1:2" x14ac:dyDescent="0.3">
      <c r="A1995" t="str">
        <f>"65-90305-24"</f>
        <v>65-90305-24</v>
      </c>
      <c r="B1995" t="s">
        <v>634</v>
      </c>
    </row>
    <row r="1996" spans="1:2" x14ac:dyDescent="0.3">
      <c r="A1996" t="str">
        <f>"65-90305-25"</f>
        <v>65-90305-25</v>
      </c>
      <c r="B1996" t="s">
        <v>634</v>
      </c>
    </row>
    <row r="1997" spans="1:2" x14ac:dyDescent="0.3">
      <c r="A1997" t="str">
        <f>"65-90305-26A"</f>
        <v>65-90305-26A</v>
      </c>
      <c r="B1997" t="s">
        <v>634</v>
      </c>
    </row>
    <row r="1998" spans="1:2" x14ac:dyDescent="0.3">
      <c r="A1998" t="str">
        <f>"65-90305-29"</f>
        <v>65-90305-29</v>
      </c>
      <c r="B1998" t="s">
        <v>634</v>
      </c>
    </row>
    <row r="1999" spans="1:2" x14ac:dyDescent="0.3">
      <c r="A1999" t="str">
        <f>"65-90305-32"</f>
        <v>65-90305-32</v>
      </c>
    </row>
    <row r="2000" spans="1:2" x14ac:dyDescent="0.3">
      <c r="A2000" t="str">
        <f>"65-90305-33"</f>
        <v>65-90305-33</v>
      </c>
      <c r="B2000" t="s">
        <v>634</v>
      </c>
    </row>
    <row r="2001" spans="1:2" x14ac:dyDescent="0.3">
      <c r="A2001" t="str">
        <f>"65-90305-38A"</f>
        <v>65-90305-38A</v>
      </c>
      <c r="B2001" t="s">
        <v>634</v>
      </c>
    </row>
    <row r="2002" spans="1:2" x14ac:dyDescent="0.3">
      <c r="A2002" t="str">
        <f>"65-90305-40A"</f>
        <v>65-90305-40A</v>
      </c>
      <c r="B2002" t="s">
        <v>634</v>
      </c>
    </row>
    <row r="2003" spans="1:2" x14ac:dyDescent="0.3">
      <c r="A2003" t="str">
        <f>"65-90305-58"</f>
        <v>65-90305-58</v>
      </c>
      <c r="B2003" t="s">
        <v>634</v>
      </c>
    </row>
    <row r="2004" spans="1:2" x14ac:dyDescent="0.3">
      <c r="A2004" t="str">
        <f>"65-90305-59"</f>
        <v>65-90305-59</v>
      </c>
      <c r="B2004" t="s">
        <v>634</v>
      </c>
    </row>
    <row r="2005" spans="1:2" x14ac:dyDescent="0.3">
      <c r="A2005" t="str">
        <f>"65-90305-61"</f>
        <v>65-90305-61</v>
      </c>
      <c r="B2005" t="s">
        <v>635</v>
      </c>
    </row>
    <row r="2006" spans="1:2" x14ac:dyDescent="0.3">
      <c r="A2006" t="str">
        <f>"65-90305-68"</f>
        <v>65-90305-68</v>
      </c>
      <c r="B2006" t="s">
        <v>635</v>
      </c>
    </row>
    <row r="2007" spans="1:2" x14ac:dyDescent="0.3">
      <c r="A2007" t="str">
        <f>"65-90305-69"</f>
        <v>65-90305-69</v>
      </c>
      <c r="B2007" t="s">
        <v>635</v>
      </c>
    </row>
    <row r="2008" spans="1:2" x14ac:dyDescent="0.3">
      <c r="A2008" t="str">
        <f>"65-90305-70"</f>
        <v>65-90305-70</v>
      </c>
      <c r="B2008" t="s">
        <v>635</v>
      </c>
    </row>
    <row r="2009" spans="1:2" x14ac:dyDescent="0.3">
      <c r="A2009" t="str">
        <f>"65-90305-71"</f>
        <v>65-90305-71</v>
      </c>
      <c r="B2009" t="s">
        <v>635</v>
      </c>
    </row>
    <row r="2010" spans="1:2" x14ac:dyDescent="0.3">
      <c r="A2010" t="str">
        <f>"65-90305-73"</f>
        <v>65-90305-73</v>
      </c>
      <c r="B2010" t="s">
        <v>635</v>
      </c>
    </row>
    <row r="2011" spans="1:2" x14ac:dyDescent="0.3">
      <c r="A2011" t="str">
        <f>"65-90305-78"</f>
        <v>65-90305-78</v>
      </c>
      <c r="B2011" t="s">
        <v>635</v>
      </c>
    </row>
    <row r="2012" spans="1:2" x14ac:dyDescent="0.3">
      <c r="A2012" t="str">
        <f>"65-90305-83"</f>
        <v>65-90305-83</v>
      </c>
    </row>
    <row r="2013" spans="1:2" x14ac:dyDescent="0.3">
      <c r="A2013" t="str">
        <f>"65-90305-84"</f>
        <v>65-90305-84</v>
      </c>
      <c r="B2013" t="s">
        <v>1935</v>
      </c>
    </row>
    <row r="2014" spans="1:2" x14ac:dyDescent="0.3">
      <c r="A2014" t="str">
        <f>"65-90305-85"</f>
        <v>65-90305-85</v>
      </c>
    </row>
    <row r="2015" spans="1:2" x14ac:dyDescent="0.3">
      <c r="A2015" t="str">
        <f>"65-90305-86"</f>
        <v>65-90305-86</v>
      </c>
      <c r="B2015" t="s">
        <v>635</v>
      </c>
    </row>
    <row r="2016" spans="1:2" x14ac:dyDescent="0.3">
      <c r="A2016" t="str">
        <f>"65-90305-88"</f>
        <v>65-90305-88</v>
      </c>
      <c r="B2016" t="s">
        <v>634</v>
      </c>
    </row>
    <row r="2017" spans="1:2" x14ac:dyDescent="0.3">
      <c r="A2017" t="str">
        <f>"65C26309-33"</f>
        <v>65C26309-33</v>
      </c>
      <c r="B2017" t="s">
        <v>887</v>
      </c>
    </row>
    <row r="2018" spans="1:2" x14ac:dyDescent="0.3">
      <c r="A2018" t="str">
        <f>"65C26787Y17"</f>
        <v>65C26787Y17</v>
      </c>
      <c r="B2018" t="s">
        <v>132</v>
      </c>
    </row>
    <row r="2019" spans="1:2" x14ac:dyDescent="0.3">
      <c r="A2019" t="str">
        <f>"65C26809-3014"</f>
        <v>65C26809-3014</v>
      </c>
      <c r="B2019" t="s">
        <v>629</v>
      </c>
    </row>
    <row r="2020" spans="1:2" x14ac:dyDescent="0.3">
      <c r="A2020" t="str">
        <f>"65C26838-3044"</f>
        <v>65C26838-3044</v>
      </c>
      <c r="B2020" t="s">
        <v>629</v>
      </c>
    </row>
    <row r="2021" spans="1:2" x14ac:dyDescent="0.3">
      <c r="A2021" t="str">
        <f>"65C27735-4"</f>
        <v>65C27735-4</v>
      </c>
      <c r="B2021" t="s">
        <v>3111</v>
      </c>
    </row>
    <row r="2022" spans="1:2" x14ac:dyDescent="0.3">
      <c r="A2022" t="str">
        <f>"65C33161-1"</f>
        <v>65C33161-1</v>
      </c>
      <c r="B2022" t="s">
        <v>336</v>
      </c>
    </row>
    <row r="2023" spans="1:2" x14ac:dyDescent="0.3">
      <c r="A2023" t="str">
        <f>"65C33161-2"</f>
        <v>65C33161-2</v>
      </c>
      <c r="B2023" t="s">
        <v>336</v>
      </c>
    </row>
    <row r="2024" spans="1:2" x14ac:dyDescent="0.3">
      <c r="A2024" t="str">
        <f>"65C33687-1"</f>
        <v>65C33687-1</v>
      </c>
      <c r="B2024" t="s">
        <v>861</v>
      </c>
    </row>
    <row r="2025" spans="1:2" x14ac:dyDescent="0.3">
      <c r="A2025" t="str">
        <f>"65C36196-1"</f>
        <v>65C36196-1</v>
      </c>
      <c r="B2025" t="s">
        <v>682</v>
      </c>
    </row>
    <row r="2026" spans="1:2" x14ac:dyDescent="0.3">
      <c r="A2026" t="str">
        <f>"65C37854-10"</f>
        <v>65C37854-10</v>
      </c>
    </row>
    <row r="2027" spans="1:2" x14ac:dyDescent="0.3">
      <c r="A2027" t="str">
        <f>"65C80736-1008"</f>
        <v>65C80736-1008</v>
      </c>
      <c r="B2027" t="s">
        <v>490</v>
      </c>
    </row>
    <row r="2028" spans="1:2" x14ac:dyDescent="0.3">
      <c r="A2028" t="str">
        <f>"65C80736-256"</f>
        <v>65C80736-256</v>
      </c>
      <c r="B2028" t="s">
        <v>4133</v>
      </c>
    </row>
    <row r="2029" spans="1:2" x14ac:dyDescent="0.3">
      <c r="A2029" t="str">
        <f>"6600-2266"</f>
        <v>6600-2266</v>
      </c>
      <c r="B2029" t="s">
        <v>13</v>
      </c>
    </row>
    <row r="2030" spans="1:2" x14ac:dyDescent="0.3">
      <c r="A2030" t="str">
        <f>"6600-2849"</f>
        <v>6600-2849</v>
      </c>
      <c r="B2030" t="s">
        <v>13</v>
      </c>
    </row>
    <row r="2031" spans="1:2" x14ac:dyDescent="0.3">
      <c r="A2031" t="str">
        <f>"6-60428-6"</f>
        <v>6-60428-6</v>
      </c>
      <c r="B2031" t="s">
        <v>3560</v>
      </c>
    </row>
    <row r="2032" spans="1:2" x14ac:dyDescent="0.3">
      <c r="A2032" t="str">
        <f>"66-12156-3"</f>
        <v>66-12156-3</v>
      </c>
      <c r="B2032" t="s">
        <v>819</v>
      </c>
    </row>
    <row r="2033" spans="1:2" x14ac:dyDescent="0.3">
      <c r="A2033" t="str">
        <f>"66-13280-1"</f>
        <v>66-13280-1</v>
      </c>
      <c r="B2033" t="s">
        <v>336</v>
      </c>
    </row>
    <row r="2034" spans="1:2" x14ac:dyDescent="0.3">
      <c r="A2034" t="str">
        <f>"66-13369-1"</f>
        <v>66-13369-1</v>
      </c>
      <c r="B2034" t="s">
        <v>353</v>
      </c>
    </row>
    <row r="2035" spans="1:2" x14ac:dyDescent="0.3">
      <c r="A2035" t="str">
        <f>"66-16691-502"</f>
        <v>66-16691-502</v>
      </c>
      <c r="B2035" t="s">
        <v>3113</v>
      </c>
    </row>
    <row r="2036" spans="1:2" x14ac:dyDescent="0.3">
      <c r="A2036" t="str">
        <f>"66-18189-1"</f>
        <v>66-18189-1</v>
      </c>
      <c r="B2036" t="s">
        <v>1634</v>
      </c>
    </row>
    <row r="2037" spans="1:2" x14ac:dyDescent="0.3">
      <c r="A2037" t="str">
        <f>"66-19144-2"</f>
        <v>66-19144-2</v>
      </c>
      <c r="B2037" t="s">
        <v>246</v>
      </c>
    </row>
    <row r="2038" spans="1:2" x14ac:dyDescent="0.3">
      <c r="A2038" t="str">
        <f>"66-22283-1"</f>
        <v>66-22283-1</v>
      </c>
      <c r="B2038" t="s">
        <v>353</v>
      </c>
    </row>
    <row r="2039" spans="1:2" x14ac:dyDescent="0.3">
      <c r="A2039" t="str">
        <f>"66224"</f>
        <v>66224</v>
      </c>
      <c r="B2039" t="s">
        <v>336</v>
      </c>
    </row>
    <row r="2040" spans="1:2" x14ac:dyDescent="0.3">
      <c r="A2040" t="str">
        <f>"66-23217-2"</f>
        <v>66-23217-2</v>
      </c>
      <c r="B2040" t="s">
        <v>246</v>
      </c>
    </row>
    <row r="2041" spans="1:2" x14ac:dyDescent="0.3">
      <c r="A2041" t="str">
        <f>"66-23220-1"</f>
        <v>66-23220-1</v>
      </c>
      <c r="B2041" t="s">
        <v>364</v>
      </c>
    </row>
    <row r="2042" spans="1:2" x14ac:dyDescent="0.3">
      <c r="A2042" t="str">
        <f>"66-23220-5"</f>
        <v>66-23220-5</v>
      </c>
      <c r="B2042" t="s">
        <v>363</v>
      </c>
    </row>
    <row r="2043" spans="1:2" x14ac:dyDescent="0.3">
      <c r="A2043" t="str">
        <f>"663180-2"</f>
        <v>663180-2</v>
      </c>
      <c r="B2043" t="s">
        <v>170</v>
      </c>
    </row>
    <row r="2044" spans="1:2" x14ac:dyDescent="0.3">
      <c r="A2044" t="str">
        <f>"663700-124"</f>
        <v>663700-124</v>
      </c>
      <c r="B2044" t="s">
        <v>188</v>
      </c>
    </row>
    <row r="2045" spans="1:2" x14ac:dyDescent="0.3">
      <c r="A2045" t="str">
        <f>"66610"</f>
        <v>66610</v>
      </c>
      <c r="B2045" t="s">
        <v>956</v>
      </c>
    </row>
    <row r="2046" spans="1:2" x14ac:dyDescent="0.3">
      <c r="A2046" t="str">
        <f>"6672M202"</f>
        <v>6672M202</v>
      </c>
    </row>
    <row r="2047" spans="1:2" x14ac:dyDescent="0.3">
      <c r="A2047" t="str">
        <f>"6678"</f>
        <v>6678</v>
      </c>
      <c r="B2047" t="s">
        <v>1906</v>
      </c>
    </row>
    <row r="2048" spans="1:2" x14ac:dyDescent="0.3">
      <c r="A2048" t="str">
        <f>"66877"</f>
        <v>66877</v>
      </c>
      <c r="B2048" t="s">
        <v>1728</v>
      </c>
    </row>
    <row r="2049" spans="1:2" x14ac:dyDescent="0.3">
      <c r="A2049" t="str">
        <f>"66AT23-7"</f>
        <v>66AT23-7</v>
      </c>
      <c r="B2049" t="s">
        <v>13</v>
      </c>
    </row>
    <row r="2050" spans="1:2" x14ac:dyDescent="0.3">
      <c r="A2050" t="str">
        <f>"67259-097-501"</f>
        <v>67259-097-501</v>
      </c>
      <c r="B2050" t="s">
        <v>3124</v>
      </c>
    </row>
    <row r="2051" spans="1:2" x14ac:dyDescent="0.3">
      <c r="A2051" t="str">
        <f>"67259-175-103"</f>
        <v>67259-175-103</v>
      </c>
      <c r="B2051" t="s">
        <v>336</v>
      </c>
    </row>
    <row r="2052" spans="1:2" x14ac:dyDescent="0.3">
      <c r="A2052" t="str">
        <f>"672D107H012CC5C"</f>
        <v>672D107H012CC5C</v>
      </c>
      <c r="B2052" t="s">
        <v>129</v>
      </c>
    </row>
    <row r="2053" spans="1:2" x14ac:dyDescent="0.3">
      <c r="A2053" t="str">
        <f>"672D337H020DM5"</f>
        <v>672D337H020DM5</v>
      </c>
      <c r="B2053" t="s">
        <v>3165</v>
      </c>
    </row>
    <row r="2054" spans="1:2" x14ac:dyDescent="0.3">
      <c r="A2054" t="str">
        <f>"672D337H020DM5C"</f>
        <v>672D337H020DM5C</v>
      </c>
      <c r="B2054" t="s">
        <v>133</v>
      </c>
    </row>
    <row r="2055" spans="1:2" x14ac:dyDescent="0.3">
      <c r="A2055" t="str">
        <f>"672D475H100CC5C"</f>
        <v>672D475H100CC5C</v>
      </c>
      <c r="B2055" t="s">
        <v>129</v>
      </c>
    </row>
    <row r="2056" spans="1:2" x14ac:dyDescent="0.3">
      <c r="A2056" t="str">
        <f>"672D477H012DM5J"</f>
        <v>672D477H012DM5J</v>
      </c>
      <c r="B2056" t="s">
        <v>3165</v>
      </c>
    </row>
    <row r="2057" spans="1:2" x14ac:dyDescent="0.3">
      <c r="A2057" t="str">
        <f>"672D825F250DG5D"</f>
        <v>672D825F250DG5D</v>
      </c>
      <c r="B2057" t="s">
        <v>133</v>
      </c>
    </row>
    <row r="2058" spans="1:2" x14ac:dyDescent="0.3">
      <c r="A2058" t="str">
        <f>"67321-26-190"</f>
        <v>67321-26-190</v>
      </c>
      <c r="B2058" t="s">
        <v>13</v>
      </c>
    </row>
    <row r="2059" spans="1:2" x14ac:dyDescent="0.3">
      <c r="A2059" t="str">
        <f>"67321-27-250"</f>
        <v>67321-27-250</v>
      </c>
      <c r="B2059" t="s">
        <v>13</v>
      </c>
    </row>
    <row r="2060" spans="1:2" x14ac:dyDescent="0.3">
      <c r="A2060" t="str">
        <f>"674-1031-2269"</f>
        <v>674-1031-2269</v>
      </c>
      <c r="B2060" t="s">
        <v>2890</v>
      </c>
    </row>
    <row r="2061" spans="1:2" x14ac:dyDescent="0.3">
      <c r="A2061" t="str">
        <f>"67493"</f>
        <v>67493</v>
      </c>
      <c r="B2061" t="s">
        <v>4371</v>
      </c>
    </row>
    <row r="2062" spans="1:2" x14ac:dyDescent="0.3">
      <c r="A2062" t="str">
        <f>"67496-2"</f>
        <v>67496-2</v>
      </c>
      <c r="B2062" t="s">
        <v>4717</v>
      </c>
    </row>
    <row r="2063" spans="1:2" x14ac:dyDescent="0.3">
      <c r="A2063" t="str">
        <f>"67565"</f>
        <v>67565</v>
      </c>
      <c r="B2063" t="s">
        <v>3974</v>
      </c>
    </row>
    <row r="2064" spans="1:2" x14ac:dyDescent="0.3">
      <c r="A2064" t="str">
        <f>"6764-228"</f>
        <v>6764-228</v>
      </c>
      <c r="B2064" t="s">
        <v>151</v>
      </c>
    </row>
    <row r="2065" spans="1:2" x14ac:dyDescent="0.3">
      <c r="A2065" t="str">
        <f>"677UN01A01B5"</f>
        <v>677UN01A01B5</v>
      </c>
      <c r="B2065" t="s">
        <v>13</v>
      </c>
    </row>
    <row r="2066" spans="1:2" x14ac:dyDescent="0.3">
      <c r="A2066" t="str">
        <f>"67839"</f>
        <v>67839</v>
      </c>
      <c r="B2066" t="s">
        <v>2558</v>
      </c>
    </row>
    <row r="2067" spans="1:2" x14ac:dyDescent="0.3">
      <c r="A2067" t="str">
        <f>"680146-904"</f>
        <v>680146-904</v>
      </c>
      <c r="B2067" t="s">
        <v>173</v>
      </c>
    </row>
    <row r="2068" spans="1:2" x14ac:dyDescent="0.3">
      <c r="A2068" t="str">
        <f>"680146-905"</f>
        <v>680146-905</v>
      </c>
      <c r="B2068" t="s">
        <v>173</v>
      </c>
    </row>
    <row r="2069" spans="1:2" x14ac:dyDescent="0.3">
      <c r="A2069" t="str">
        <f>"680146-906"</f>
        <v>680146-906</v>
      </c>
      <c r="B2069" t="s">
        <v>173</v>
      </c>
    </row>
    <row r="2070" spans="1:2" x14ac:dyDescent="0.3">
      <c r="A2070" t="str">
        <f>"680146-916"</f>
        <v>680146-916</v>
      </c>
      <c r="B2070" t="s">
        <v>173</v>
      </c>
    </row>
    <row r="2071" spans="1:2" x14ac:dyDescent="0.3">
      <c r="A2071" t="str">
        <f>"68-1049"</f>
        <v>68-1049</v>
      </c>
      <c r="B2071" t="s">
        <v>888</v>
      </c>
    </row>
    <row r="2072" spans="1:2" x14ac:dyDescent="0.3">
      <c r="A2072" t="str">
        <f>"68108-2"</f>
        <v>68108-2</v>
      </c>
      <c r="B2072" t="s">
        <v>4118</v>
      </c>
    </row>
    <row r="2073" spans="1:2" x14ac:dyDescent="0.3">
      <c r="A2073" t="str">
        <f>"68-1156"</f>
        <v>68-1156</v>
      </c>
      <c r="B2073" t="s">
        <v>3397</v>
      </c>
    </row>
    <row r="2074" spans="1:2" x14ac:dyDescent="0.3">
      <c r="A2074" t="str">
        <f>"68-1162"</f>
        <v>68-1162</v>
      </c>
      <c r="B2074" t="s">
        <v>188</v>
      </c>
    </row>
    <row r="2075" spans="1:2" x14ac:dyDescent="0.3">
      <c r="A2075" t="str">
        <f>"68-1249"</f>
        <v>68-1249</v>
      </c>
      <c r="B2075" t="s">
        <v>132</v>
      </c>
    </row>
    <row r="2076" spans="1:2" x14ac:dyDescent="0.3">
      <c r="A2076" t="str">
        <f>"68-1271-1"</f>
        <v>68-1271-1</v>
      </c>
      <c r="B2076" t="s">
        <v>132</v>
      </c>
    </row>
    <row r="2077" spans="1:2" x14ac:dyDescent="0.3">
      <c r="A2077" t="str">
        <f>"68-1273"</f>
        <v>68-1273</v>
      </c>
      <c r="B2077" t="s">
        <v>173</v>
      </c>
    </row>
    <row r="2078" spans="1:2" x14ac:dyDescent="0.3">
      <c r="A2078" t="str">
        <f>"68-1312"</f>
        <v>68-1312</v>
      </c>
      <c r="B2078" t="s">
        <v>150</v>
      </c>
    </row>
    <row r="2079" spans="1:2" x14ac:dyDescent="0.3">
      <c r="A2079" t="str">
        <f>"68-1313"</f>
        <v>68-1313</v>
      </c>
      <c r="B2079" t="s">
        <v>173</v>
      </c>
    </row>
    <row r="2080" spans="1:2" x14ac:dyDescent="0.3">
      <c r="A2080" t="str">
        <f>"68-1316"</f>
        <v>68-1316</v>
      </c>
      <c r="B2080" t="s">
        <v>132</v>
      </c>
    </row>
    <row r="2081" spans="1:2" x14ac:dyDescent="0.3">
      <c r="A2081" t="str">
        <f>"68-1357"</f>
        <v>68-1357</v>
      </c>
      <c r="B2081" t="s">
        <v>1713</v>
      </c>
    </row>
    <row r="2082" spans="1:2" x14ac:dyDescent="0.3">
      <c r="A2082" t="str">
        <f>"68-1360"</f>
        <v>68-1360</v>
      </c>
      <c r="B2082" t="s">
        <v>1713</v>
      </c>
    </row>
    <row r="2083" spans="1:2" x14ac:dyDescent="0.3">
      <c r="A2083" t="str">
        <f>"68-1361"</f>
        <v>68-1361</v>
      </c>
      <c r="B2083" t="s">
        <v>3661</v>
      </c>
    </row>
    <row r="2084" spans="1:2" x14ac:dyDescent="0.3">
      <c r="A2084" t="str">
        <f>"68-1362"</f>
        <v>68-1362</v>
      </c>
      <c r="B2084" t="s">
        <v>173</v>
      </c>
    </row>
    <row r="2085" spans="1:2" x14ac:dyDescent="0.3">
      <c r="A2085" t="str">
        <f>"68-1363"</f>
        <v>68-1363</v>
      </c>
      <c r="B2085" t="s">
        <v>1713</v>
      </c>
    </row>
    <row r="2086" spans="1:2" x14ac:dyDescent="0.3">
      <c r="A2086" t="str">
        <f>"68-1364"</f>
        <v>68-1364</v>
      </c>
      <c r="B2086" t="s">
        <v>3036</v>
      </c>
    </row>
    <row r="2087" spans="1:2" x14ac:dyDescent="0.3">
      <c r="A2087" t="str">
        <f>"68-1372"</f>
        <v>68-1372</v>
      </c>
      <c r="B2087" t="s">
        <v>173</v>
      </c>
    </row>
    <row r="2088" spans="1:2" x14ac:dyDescent="0.3">
      <c r="A2088" t="str">
        <f>"68-1406"</f>
        <v>68-1406</v>
      </c>
      <c r="B2088" t="s">
        <v>132</v>
      </c>
    </row>
    <row r="2089" spans="1:2" x14ac:dyDescent="0.3">
      <c r="A2089" t="str">
        <f>"68150"</f>
        <v>68150</v>
      </c>
      <c r="B2089" t="s">
        <v>4701</v>
      </c>
    </row>
    <row r="2090" spans="1:2" x14ac:dyDescent="0.3">
      <c r="A2090" t="str">
        <f>"682(OL)"</f>
        <v>682(OL)</v>
      </c>
      <c r="B2090" t="s">
        <v>11</v>
      </c>
    </row>
    <row r="2091" spans="1:2" x14ac:dyDescent="0.3">
      <c r="A2091" t="str">
        <f>"68-2027"</f>
        <v>68-2027</v>
      </c>
      <c r="B2091" t="s">
        <v>2101</v>
      </c>
    </row>
    <row r="2092" spans="1:2" x14ac:dyDescent="0.3">
      <c r="A2092" t="str">
        <f>"682-1001-001"</f>
        <v>682-1001-001</v>
      </c>
      <c r="B2092" t="s">
        <v>4094</v>
      </c>
    </row>
    <row r="2093" spans="1:2" x14ac:dyDescent="0.3">
      <c r="A2093" t="str">
        <f>"68-216"</f>
        <v>68-216</v>
      </c>
      <c r="B2093" t="s">
        <v>188</v>
      </c>
    </row>
    <row r="2094" spans="1:2" x14ac:dyDescent="0.3">
      <c r="A2094" t="str">
        <f>"68-2290005-30"</f>
        <v>68-2290005-30</v>
      </c>
      <c r="B2094" t="s">
        <v>1771</v>
      </c>
    </row>
    <row r="2095" spans="1:2" x14ac:dyDescent="0.3">
      <c r="A2095" t="str">
        <f>"68-269"</f>
        <v>68-269</v>
      </c>
      <c r="B2095" t="s">
        <v>173</v>
      </c>
    </row>
    <row r="2096" spans="1:2" x14ac:dyDescent="0.3">
      <c r="A2096" t="str">
        <f>"6832"</f>
        <v>6832</v>
      </c>
      <c r="B2096" t="s">
        <v>11</v>
      </c>
    </row>
    <row r="2097" spans="1:2" x14ac:dyDescent="0.3">
      <c r="A2097" t="str">
        <f>"6832AS15"</f>
        <v>6832AS15</v>
      </c>
      <c r="B2097" t="s">
        <v>11</v>
      </c>
    </row>
    <row r="2098" spans="1:2" x14ac:dyDescent="0.3">
      <c r="A2098" t="str">
        <f>"6838"</f>
        <v>6838</v>
      </c>
      <c r="B2098" t="s">
        <v>11</v>
      </c>
    </row>
    <row r="2099" spans="1:2" x14ac:dyDescent="0.3">
      <c r="A2099" t="str">
        <f>"6839"</f>
        <v>6839</v>
      </c>
      <c r="B2099" t="s">
        <v>11</v>
      </c>
    </row>
    <row r="2100" spans="1:2" x14ac:dyDescent="0.3">
      <c r="A2100" t="str">
        <f>"6839BPE"</f>
        <v>6839BPE</v>
      </c>
      <c r="B2100" t="s">
        <v>11</v>
      </c>
    </row>
    <row r="2101" spans="1:2" x14ac:dyDescent="0.3">
      <c r="A2101" t="str">
        <f>"683AS15"</f>
        <v>683AS15</v>
      </c>
      <c r="B2101" t="s">
        <v>11</v>
      </c>
    </row>
    <row r="2102" spans="1:2" x14ac:dyDescent="0.3">
      <c r="A2102" t="str">
        <f>"68-404"</f>
        <v>68-404</v>
      </c>
      <c r="B2102" t="s">
        <v>4114</v>
      </c>
    </row>
    <row r="2103" spans="1:2" x14ac:dyDescent="0.3">
      <c r="A2103" t="str">
        <f>"68-4230020-40"</f>
        <v>68-4230020-40</v>
      </c>
      <c r="B2103" t="s">
        <v>1737</v>
      </c>
    </row>
    <row r="2104" spans="1:2" x14ac:dyDescent="0.3">
      <c r="A2104" t="str">
        <f>"68-4230020-50"</f>
        <v>68-4230020-50</v>
      </c>
      <c r="B2104" t="s">
        <v>11</v>
      </c>
    </row>
    <row r="2105" spans="1:2" x14ac:dyDescent="0.3">
      <c r="A2105" t="str">
        <f>"68-4250066-30"</f>
        <v>68-4250066-30</v>
      </c>
      <c r="B2105" t="s">
        <v>1770</v>
      </c>
    </row>
    <row r="2106" spans="1:2" x14ac:dyDescent="0.3">
      <c r="A2106" t="str">
        <f>"68-4270569-57"</f>
        <v>68-4270569-57</v>
      </c>
      <c r="B2106" t="s">
        <v>556</v>
      </c>
    </row>
    <row r="2107" spans="1:2" x14ac:dyDescent="0.3">
      <c r="A2107" t="str">
        <f>"68-448"</f>
        <v>68-448</v>
      </c>
      <c r="B2107" t="s">
        <v>188</v>
      </c>
    </row>
    <row r="2108" spans="1:2" x14ac:dyDescent="0.3">
      <c r="A2108" t="str">
        <f>"68-450"</f>
        <v>68-450</v>
      </c>
      <c r="B2108" t="s">
        <v>188</v>
      </c>
    </row>
    <row r="2109" spans="1:2" x14ac:dyDescent="0.3">
      <c r="A2109" t="str">
        <f>"685"</f>
        <v>685</v>
      </c>
      <c r="B2109" t="s">
        <v>11</v>
      </c>
    </row>
    <row r="2110" spans="1:2" x14ac:dyDescent="0.3">
      <c r="A2110" t="str">
        <f>"6891967"</f>
        <v>6891967</v>
      </c>
      <c r="B2110" t="s">
        <v>132</v>
      </c>
    </row>
    <row r="2111" spans="1:2" x14ac:dyDescent="0.3">
      <c r="A2111" t="str">
        <f>"68E125C4"</f>
        <v>68E125C4</v>
      </c>
      <c r="B2111" t="s">
        <v>4753</v>
      </c>
    </row>
    <row r="2112" spans="1:2" x14ac:dyDescent="0.3">
      <c r="A2112" t="str">
        <f>"69-20262-12"</f>
        <v>69-20262-12</v>
      </c>
      <c r="B2112" t="s">
        <v>3215</v>
      </c>
    </row>
    <row r="2113" spans="1:2" x14ac:dyDescent="0.3">
      <c r="A2113" t="str">
        <f>"69-20263-7"</f>
        <v>69-20263-7</v>
      </c>
      <c r="B2113" t="s">
        <v>3216</v>
      </c>
    </row>
    <row r="2114" spans="1:2" x14ac:dyDescent="0.3">
      <c r="A2114" t="str">
        <f>"69-20787-1"</f>
        <v>69-20787-1</v>
      </c>
      <c r="B2114" t="s">
        <v>364</v>
      </c>
    </row>
    <row r="2115" spans="1:2" x14ac:dyDescent="0.3">
      <c r="A2115" t="str">
        <f>"692542"</f>
        <v>692542</v>
      </c>
      <c r="B2115" t="s">
        <v>1290</v>
      </c>
    </row>
    <row r="2116" spans="1:2" x14ac:dyDescent="0.3">
      <c r="A2116" t="str">
        <f>"69-35343Y6"</f>
        <v>69-35343Y6</v>
      </c>
      <c r="B2116" t="s">
        <v>151</v>
      </c>
    </row>
    <row r="2117" spans="1:2" x14ac:dyDescent="0.3">
      <c r="A2117" t="str">
        <f>"69-35347-5"</f>
        <v>69-35347-5</v>
      </c>
      <c r="B2117" t="s">
        <v>364</v>
      </c>
    </row>
    <row r="2118" spans="1:2" x14ac:dyDescent="0.3">
      <c r="A2118" t="str">
        <f>"69-37307-300"</f>
        <v>69-37307-300</v>
      </c>
      <c r="B2118" t="s">
        <v>878</v>
      </c>
    </row>
    <row r="2119" spans="1:2" x14ac:dyDescent="0.3">
      <c r="A2119" t="str">
        <f>"69-37313-405"</f>
        <v>69-37313-405</v>
      </c>
      <c r="B2119" t="s">
        <v>1541</v>
      </c>
    </row>
    <row r="2120" spans="1:2" x14ac:dyDescent="0.3">
      <c r="A2120" t="str">
        <f>"69-37317-64"</f>
        <v>69-37317-64</v>
      </c>
      <c r="B2120" t="s">
        <v>490</v>
      </c>
    </row>
    <row r="2121" spans="1:2" x14ac:dyDescent="0.3">
      <c r="A2121" t="str">
        <f>"69-37399-12"</f>
        <v>69-37399-12</v>
      </c>
      <c r="B2121" t="s">
        <v>1541</v>
      </c>
    </row>
    <row r="2122" spans="1:2" x14ac:dyDescent="0.3">
      <c r="A2122" t="str">
        <f>"69-38759-3"</f>
        <v>69-38759-3</v>
      </c>
      <c r="B2122" t="s">
        <v>132</v>
      </c>
    </row>
    <row r="2123" spans="1:2" x14ac:dyDescent="0.3">
      <c r="A2123" t="str">
        <f>"69-38825-5"</f>
        <v>69-38825-5</v>
      </c>
      <c r="B2123" t="s">
        <v>364</v>
      </c>
    </row>
    <row r="2124" spans="1:2" x14ac:dyDescent="0.3">
      <c r="A2124" t="str">
        <f>"6938BPE"</f>
        <v>6938BPE</v>
      </c>
      <c r="B2124" t="s">
        <v>11</v>
      </c>
    </row>
    <row r="2125" spans="1:2" x14ac:dyDescent="0.3">
      <c r="A2125" t="str">
        <f>"69-40703-1002B"</f>
        <v>69-40703-1002B</v>
      </c>
      <c r="B2125" t="s">
        <v>4291</v>
      </c>
    </row>
    <row r="2126" spans="1:2" x14ac:dyDescent="0.3">
      <c r="A2126" t="str">
        <f>"69-41730-64"</f>
        <v>69-41730-64</v>
      </c>
      <c r="B2126" t="s">
        <v>3320</v>
      </c>
    </row>
    <row r="2127" spans="1:2" x14ac:dyDescent="0.3">
      <c r="A2127" t="str">
        <f>"69-41730-67"</f>
        <v>69-41730-67</v>
      </c>
      <c r="B2127" t="s">
        <v>4507</v>
      </c>
    </row>
    <row r="2128" spans="1:2" x14ac:dyDescent="0.3">
      <c r="A2128" t="str">
        <f>"69-42167-7"</f>
        <v>69-42167-7</v>
      </c>
      <c r="B2128" t="s">
        <v>889</v>
      </c>
    </row>
    <row r="2129" spans="1:2" x14ac:dyDescent="0.3">
      <c r="A2129" t="str">
        <f>"69-42311-3"</f>
        <v>69-42311-3</v>
      </c>
      <c r="B2129" t="s">
        <v>458</v>
      </c>
    </row>
    <row r="2130" spans="1:2" x14ac:dyDescent="0.3">
      <c r="A2130" t="str">
        <f>"69-44578-2"</f>
        <v>69-44578-2</v>
      </c>
      <c r="B2130" t="s">
        <v>129</v>
      </c>
    </row>
    <row r="2131" spans="1:2" x14ac:dyDescent="0.3">
      <c r="A2131" t="str">
        <f>"69-44994-2"</f>
        <v>69-44994-2</v>
      </c>
      <c r="B2131" t="s">
        <v>4128</v>
      </c>
    </row>
    <row r="2132" spans="1:2" x14ac:dyDescent="0.3">
      <c r="A2132" t="str">
        <f>"69-45143-4"</f>
        <v>69-45143-4</v>
      </c>
      <c r="B2132" t="s">
        <v>4</v>
      </c>
    </row>
    <row r="2133" spans="1:2" x14ac:dyDescent="0.3">
      <c r="A2133" t="str">
        <f>"69-47869Y1"</f>
        <v>69-47869Y1</v>
      </c>
      <c r="B2133" t="s">
        <v>2112</v>
      </c>
    </row>
    <row r="2134" spans="1:2" x14ac:dyDescent="0.3">
      <c r="A2134" t="str">
        <f>"69-47869Y2"</f>
        <v>69-47869Y2</v>
      </c>
      <c r="B2134" t="s">
        <v>2112</v>
      </c>
    </row>
    <row r="2135" spans="1:2" x14ac:dyDescent="0.3">
      <c r="A2135" t="str">
        <f>"69-54540-218"</f>
        <v>69-54540-218</v>
      </c>
      <c r="B2135" t="s">
        <v>3593</v>
      </c>
    </row>
    <row r="2136" spans="1:2" x14ac:dyDescent="0.3">
      <c r="A2136" t="str">
        <f>"69-54957-3"</f>
        <v>69-54957-3</v>
      </c>
    </row>
    <row r="2137" spans="1:2" x14ac:dyDescent="0.3">
      <c r="A2137" t="str">
        <f>"69-54958-2"</f>
        <v>69-54958-2</v>
      </c>
      <c r="B2137" t="s">
        <v>391</v>
      </c>
    </row>
    <row r="2138" spans="1:2" x14ac:dyDescent="0.3">
      <c r="A2138" t="str">
        <f>"69551"</f>
        <v>69551</v>
      </c>
      <c r="B2138" t="s">
        <v>336</v>
      </c>
    </row>
    <row r="2139" spans="1:2" x14ac:dyDescent="0.3">
      <c r="A2139" t="str">
        <f>"69-56542-1"</f>
        <v>69-56542-1</v>
      </c>
      <c r="B2139" t="s">
        <v>136</v>
      </c>
    </row>
    <row r="2140" spans="1:2" x14ac:dyDescent="0.3">
      <c r="A2140" t="str">
        <f>"69-59231-7"</f>
        <v>69-59231-7</v>
      </c>
      <c r="B2140" t="s">
        <v>2497</v>
      </c>
    </row>
    <row r="2141" spans="1:2" x14ac:dyDescent="0.3">
      <c r="A2141" t="str">
        <f>"69-59870-1"</f>
        <v>69-59870-1</v>
      </c>
      <c r="B2141" t="s">
        <v>392</v>
      </c>
    </row>
    <row r="2142" spans="1:2" x14ac:dyDescent="0.3">
      <c r="A2142" t="str">
        <f>"69-59871-1"</f>
        <v>69-59871-1</v>
      </c>
      <c r="B2142" t="s">
        <v>392</v>
      </c>
    </row>
    <row r="2143" spans="1:2" x14ac:dyDescent="0.3">
      <c r="A2143" t="str">
        <f>"69-59872-1"</f>
        <v>69-59872-1</v>
      </c>
      <c r="B2143" t="s">
        <v>391</v>
      </c>
    </row>
    <row r="2144" spans="1:2" x14ac:dyDescent="0.3">
      <c r="A2144" t="str">
        <f>"69-61978-4"</f>
        <v>69-61978-4</v>
      </c>
      <c r="B2144" t="s">
        <v>353</v>
      </c>
    </row>
    <row r="2145" spans="1:2" x14ac:dyDescent="0.3">
      <c r="A2145" t="str">
        <f>"69-61978-5"</f>
        <v>69-61978-5</v>
      </c>
      <c r="B2145" t="s">
        <v>353</v>
      </c>
    </row>
    <row r="2146" spans="1:2" x14ac:dyDescent="0.3">
      <c r="A2146" t="str">
        <f>"69-62183-2"</f>
        <v>69-62183-2</v>
      </c>
      <c r="B2146" t="s">
        <v>184</v>
      </c>
    </row>
    <row r="2147" spans="1:2" x14ac:dyDescent="0.3">
      <c r="A2147" t="str">
        <f>"69-63391-7"</f>
        <v>69-63391-7</v>
      </c>
      <c r="B2147" t="s">
        <v>363</v>
      </c>
    </row>
    <row r="2148" spans="1:2" x14ac:dyDescent="0.3">
      <c r="A2148" t="str">
        <f>"69-63391-8"</f>
        <v>69-63391-8</v>
      </c>
      <c r="B2148" t="s">
        <v>363</v>
      </c>
    </row>
    <row r="2149" spans="1:2" x14ac:dyDescent="0.3">
      <c r="A2149" t="str">
        <f>"69-73012-1"</f>
        <v>69-73012-1</v>
      </c>
      <c r="B2149" t="s">
        <v>959</v>
      </c>
    </row>
    <row r="2150" spans="1:2" x14ac:dyDescent="0.3">
      <c r="A2150" t="str">
        <f>"69-73713-15"</f>
        <v>69-73713-15</v>
      </c>
      <c r="B2150" t="s">
        <v>878</v>
      </c>
    </row>
    <row r="2151" spans="1:2" x14ac:dyDescent="0.3">
      <c r="A2151" t="str">
        <f>"69-73869-3"</f>
        <v>69-73869-3</v>
      </c>
      <c r="B2151" t="s">
        <v>136</v>
      </c>
    </row>
    <row r="2152" spans="1:2" x14ac:dyDescent="0.3">
      <c r="A2152" t="str">
        <f>"69-73869-4"</f>
        <v>69-73869-4</v>
      </c>
      <c r="B2152" t="s">
        <v>136</v>
      </c>
    </row>
    <row r="2153" spans="1:2" x14ac:dyDescent="0.3">
      <c r="A2153" t="str">
        <f>"69-74374-3"</f>
        <v>69-74374-3</v>
      </c>
      <c r="B2153" t="s">
        <v>2112</v>
      </c>
    </row>
    <row r="2154" spans="1:2" x14ac:dyDescent="0.3">
      <c r="A2154" t="str">
        <f>"69-76189-2"</f>
        <v>69-76189-2</v>
      </c>
      <c r="B2154" t="s">
        <v>890</v>
      </c>
    </row>
    <row r="2155" spans="1:2" x14ac:dyDescent="0.3">
      <c r="A2155" t="str">
        <f>"69-77135-1"</f>
        <v>69-77135-1</v>
      </c>
    </row>
    <row r="2156" spans="1:2" x14ac:dyDescent="0.3">
      <c r="A2156" t="str">
        <f>"69-77698-1"</f>
        <v>69-77698-1</v>
      </c>
      <c r="B2156" t="s">
        <v>363</v>
      </c>
    </row>
    <row r="2157" spans="1:2" x14ac:dyDescent="0.3">
      <c r="A2157" t="str">
        <f>"69-77765-1"</f>
        <v>69-77765-1</v>
      </c>
      <c r="B2157" t="s">
        <v>374</v>
      </c>
    </row>
    <row r="2158" spans="1:2" x14ac:dyDescent="0.3">
      <c r="A2158" t="str">
        <f>"69-77765-2"</f>
        <v>69-77765-2</v>
      </c>
      <c r="B2158" t="s">
        <v>374</v>
      </c>
    </row>
    <row r="2159" spans="1:2" x14ac:dyDescent="0.3">
      <c r="A2159" t="str">
        <f>"69-77997-4"</f>
        <v>69-77997-4</v>
      </c>
      <c r="B2159" t="s">
        <v>4598</v>
      </c>
    </row>
    <row r="2160" spans="1:2" x14ac:dyDescent="0.3">
      <c r="A2160" t="str">
        <f>"698430-1"</f>
        <v>698430-1</v>
      </c>
      <c r="B2160" t="s">
        <v>13</v>
      </c>
    </row>
    <row r="2161" spans="1:2" x14ac:dyDescent="0.3">
      <c r="A2161" t="str">
        <f>"698430-2"</f>
        <v>698430-2</v>
      </c>
      <c r="B2161" t="s">
        <v>13</v>
      </c>
    </row>
    <row r="2162" spans="1:2" x14ac:dyDescent="0.3">
      <c r="A2162" t="str">
        <f>"69B80006-1"</f>
        <v>69B80006-1</v>
      </c>
      <c r="B2162" t="s">
        <v>818</v>
      </c>
    </row>
    <row r="2163" spans="1:2" x14ac:dyDescent="0.3">
      <c r="A2163" t="str">
        <f>"6AT29"</f>
        <v>6AT29</v>
      </c>
      <c r="B2163" t="s">
        <v>13</v>
      </c>
    </row>
    <row r="2164" spans="1:2" x14ac:dyDescent="0.3">
      <c r="A2164" t="str">
        <f>"6IN4STANDARD33"</f>
        <v>6IN4STANDARD33</v>
      </c>
      <c r="B2164" t="s">
        <v>4721</v>
      </c>
    </row>
    <row r="2165" spans="1:2" x14ac:dyDescent="0.3">
      <c r="A2165" t="str">
        <f>"7000466-918"</f>
        <v>7000466-918</v>
      </c>
      <c r="B2165" t="s">
        <v>446</v>
      </c>
    </row>
    <row r="2166" spans="1:2" x14ac:dyDescent="0.3">
      <c r="A2166" t="str">
        <f>"700228"</f>
        <v>700228</v>
      </c>
      <c r="B2166" t="s">
        <v>3675</v>
      </c>
    </row>
    <row r="2167" spans="1:2" x14ac:dyDescent="0.3">
      <c r="A2167" t="str">
        <f>"7002-7"</f>
        <v>7002-7</v>
      </c>
      <c r="B2167" t="s">
        <v>3286</v>
      </c>
    </row>
    <row r="2168" spans="1:2" x14ac:dyDescent="0.3">
      <c r="A2168" t="str">
        <f>"700631-1"</f>
        <v>700631-1</v>
      </c>
      <c r="B2168" t="s">
        <v>2979</v>
      </c>
    </row>
    <row r="2169" spans="1:2" x14ac:dyDescent="0.3">
      <c r="A2169" t="str">
        <f>"7007"</f>
        <v>7007</v>
      </c>
      <c r="B2169" t="s">
        <v>2771</v>
      </c>
    </row>
    <row r="2170" spans="1:2" x14ac:dyDescent="0.3">
      <c r="A2170" t="str">
        <f>"700767-1"</f>
        <v>700767-1</v>
      </c>
      <c r="B2170" t="s">
        <v>1325</v>
      </c>
    </row>
    <row r="2171" spans="1:2" x14ac:dyDescent="0.3">
      <c r="A2171" t="str">
        <f>"700-7908"</f>
        <v>700-7908</v>
      </c>
      <c r="B2171" t="s">
        <v>13</v>
      </c>
    </row>
    <row r="2172" spans="1:2" x14ac:dyDescent="0.3">
      <c r="A2172" t="str">
        <f>"700-857-2272-99"</f>
        <v>700-857-2272-99</v>
      </c>
      <c r="B2172" t="s">
        <v>132</v>
      </c>
    </row>
    <row r="2173" spans="1:2" x14ac:dyDescent="0.3">
      <c r="A2173" t="str">
        <f>"700-861-8862-99"</f>
        <v>700-861-8862-99</v>
      </c>
      <c r="B2173" t="s">
        <v>3643</v>
      </c>
    </row>
    <row r="2174" spans="1:2" x14ac:dyDescent="0.3">
      <c r="A2174" t="str">
        <f>"700-863-8862-99"</f>
        <v>700-863-8862-99</v>
      </c>
      <c r="B2174" t="s">
        <v>3643</v>
      </c>
    </row>
    <row r="2175" spans="1:2" x14ac:dyDescent="0.3">
      <c r="A2175" t="str">
        <f>"700-867-2272-99"</f>
        <v>700-867-2272-99</v>
      </c>
      <c r="B2175" t="s">
        <v>3643</v>
      </c>
    </row>
    <row r="2176" spans="1:2" x14ac:dyDescent="0.3">
      <c r="A2176" t="str">
        <f>"700-B38574-002"</f>
        <v>700-B38574-002</v>
      </c>
      <c r="B2176" t="s">
        <v>177</v>
      </c>
    </row>
    <row r="2177" spans="1:2" x14ac:dyDescent="0.3">
      <c r="A2177" t="str">
        <f>"700-B38574-010"</f>
        <v>700-B38574-010</v>
      </c>
      <c r="B2177" t="s">
        <v>1881</v>
      </c>
    </row>
    <row r="2178" spans="1:2" x14ac:dyDescent="0.3">
      <c r="A2178" t="str">
        <f>"700-B41633-001"</f>
        <v>700-B41633-001</v>
      </c>
      <c r="B2178" t="s">
        <v>1490</v>
      </c>
    </row>
    <row r="2179" spans="1:2" x14ac:dyDescent="0.3">
      <c r="A2179" t="str">
        <f>"700-B41633-002"</f>
        <v>700-B41633-002</v>
      </c>
      <c r="B2179" t="s">
        <v>2678</v>
      </c>
    </row>
    <row r="2180" spans="1:2" x14ac:dyDescent="0.3">
      <c r="A2180" t="str">
        <f>"700-B41633A-001"</f>
        <v>700-B41633A-001</v>
      </c>
      <c r="B2180" t="s">
        <v>1490</v>
      </c>
    </row>
    <row r="2181" spans="1:2" x14ac:dyDescent="0.3">
      <c r="A2181" t="str">
        <f>"700-B42090"</f>
        <v>700-B42090</v>
      </c>
      <c r="B2181" t="s">
        <v>554</v>
      </c>
    </row>
    <row r="2182" spans="1:2" x14ac:dyDescent="0.3">
      <c r="A2182" t="str">
        <f>"700-B42174"</f>
        <v>700-B42174</v>
      </c>
      <c r="B2182" t="s">
        <v>3828</v>
      </c>
    </row>
    <row r="2183" spans="1:2" x14ac:dyDescent="0.3">
      <c r="A2183" t="str">
        <f>"700-B44287"</f>
        <v>700-B44287</v>
      </c>
      <c r="B2183" t="s">
        <v>682</v>
      </c>
    </row>
    <row r="2184" spans="1:2" x14ac:dyDescent="0.3">
      <c r="A2184" t="str">
        <f>"700-B44463"</f>
        <v>700-B44463</v>
      </c>
      <c r="B2184" t="s">
        <v>2477</v>
      </c>
    </row>
    <row r="2185" spans="1:2" x14ac:dyDescent="0.3">
      <c r="A2185" t="str">
        <f>"700-B45284-002"</f>
        <v>700-B45284-002</v>
      </c>
      <c r="B2185" t="s">
        <v>2751</v>
      </c>
    </row>
    <row r="2186" spans="1:2" x14ac:dyDescent="0.3">
      <c r="A2186" t="str">
        <f>"700-B47964-002"</f>
        <v>700-B47964-002</v>
      </c>
      <c r="B2186" t="s">
        <v>4347</v>
      </c>
    </row>
    <row r="2187" spans="1:2" x14ac:dyDescent="0.3">
      <c r="A2187" t="str">
        <f>"700-C23231"</f>
        <v>700-C23231</v>
      </c>
      <c r="B2187" t="s">
        <v>13</v>
      </c>
    </row>
    <row r="2188" spans="1:2" x14ac:dyDescent="0.3">
      <c r="A2188" t="str">
        <f>"700-C43267C-001"</f>
        <v>700-C43267C-001</v>
      </c>
      <c r="B2188" t="s">
        <v>405</v>
      </c>
    </row>
    <row r="2189" spans="1:2" x14ac:dyDescent="0.3">
      <c r="A2189" t="str">
        <f>"700-C43267C-005"</f>
        <v>700-C43267C-005</v>
      </c>
      <c r="B2189" t="s">
        <v>1815</v>
      </c>
    </row>
    <row r="2190" spans="1:2" x14ac:dyDescent="0.3">
      <c r="A2190" t="str">
        <f>"700-C43267D-001"</f>
        <v>700-C43267D-001</v>
      </c>
      <c r="B2190" t="s">
        <v>2476</v>
      </c>
    </row>
    <row r="2191" spans="1:2" x14ac:dyDescent="0.3">
      <c r="A2191" t="str">
        <f>"700-C45961C-006"</f>
        <v>700-C45961C-006</v>
      </c>
      <c r="B2191" t="s">
        <v>3668</v>
      </c>
    </row>
    <row r="2192" spans="1:2" x14ac:dyDescent="0.3">
      <c r="A2192" t="str">
        <f>"700-D32336A"</f>
        <v>700-D32336A</v>
      </c>
      <c r="B2192" t="s">
        <v>461</v>
      </c>
    </row>
    <row r="2193" spans="1:2" x14ac:dyDescent="0.3">
      <c r="A2193" t="str">
        <f>"700-D39958-005"</f>
        <v>700-D39958-005</v>
      </c>
      <c r="B2193" t="s">
        <v>405</v>
      </c>
    </row>
    <row r="2194" spans="1:2" x14ac:dyDescent="0.3">
      <c r="A2194" t="str">
        <f>"700-D41000"</f>
        <v>700-D41000</v>
      </c>
      <c r="B2194" t="s">
        <v>675</v>
      </c>
    </row>
    <row r="2195" spans="1:2" x14ac:dyDescent="0.3">
      <c r="A2195" t="str">
        <f>"700-D41000A"</f>
        <v>700-D41000A</v>
      </c>
      <c r="B2195" t="s">
        <v>13</v>
      </c>
    </row>
    <row r="2196" spans="1:2" x14ac:dyDescent="0.3">
      <c r="A2196" t="str">
        <f>"700-D41000B"</f>
        <v>700-D41000B</v>
      </c>
      <c r="B2196" t="s">
        <v>13</v>
      </c>
    </row>
    <row r="2197" spans="1:2" x14ac:dyDescent="0.3">
      <c r="A2197" t="str">
        <f>"700-D41465-001"</f>
        <v>700-D41465-001</v>
      </c>
      <c r="B2197" t="s">
        <v>1361</v>
      </c>
    </row>
    <row r="2198" spans="1:2" x14ac:dyDescent="0.3">
      <c r="A2198" t="str">
        <f>"700-D41465A-002"</f>
        <v>700-D41465A-002</v>
      </c>
      <c r="B2198" t="s">
        <v>2586</v>
      </c>
    </row>
    <row r="2199" spans="1:2" x14ac:dyDescent="0.3">
      <c r="A2199" t="str">
        <f>"700-D41465A-003"</f>
        <v>700-D41465A-003</v>
      </c>
      <c r="B2199" t="s">
        <v>2876</v>
      </c>
    </row>
    <row r="2200" spans="1:2" x14ac:dyDescent="0.3">
      <c r="A2200" t="str">
        <f>"700-D41465A-004"</f>
        <v>700-D41465A-004</v>
      </c>
      <c r="B2200" t="s">
        <v>918</v>
      </c>
    </row>
    <row r="2201" spans="1:2" x14ac:dyDescent="0.3">
      <c r="A2201" t="str">
        <f>"700-D41465A-005"</f>
        <v>700-D41465A-005</v>
      </c>
      <c r="B2201" t="s">
        <v>512</v>
      </c>
    </row>
    <row r="2202" spans="1:2" x14ac:dyDescent="0.3">
      <c r="A2202" t="str">
        <f>"700-D41465B-002"</f>
        <v>700-D41465B-002</v>
      </c>
      <c r="B2202" t="s">
        <v>555</v>
      </c>
    </row>
    <row r="2203" spans="1:2" x14ac:dyDescent="0.3">
      <c r="A2203" t="str">
        <f>"700-D41465H-002"</f>
        <v>700-D41465H-002</v>
      </c>
      <c r="B2203" t="s">
        <v>2641</v>
      </c>
    </row>
    <row r="2204" spans="1:2" x14ac:dyDescent="0.3">
      <c r="A2204" t="str">
        <f>"700-D41465HA-002"</f>
        <v>700-D41465HA-002</v>
      </c>
      <c r="B2204" t="s">
        <v>918</v>
      </c>
    </row>
    <row r="2205" spans="1:2" x14ac:dyDescent="0.3">
      <c r="A2205" t="str">
        <f>"700-D41465JA-002"</f>
        <v>700-D41465JA-002</v>
      </c>
      <c r="B2205" t="s">
        <v>405</v>
      </c>
    </row>
    <row r="2206" spans="1:2" x14ac:dyDescent="0.3">
      <c r="A2206" t="str">
        <f>"700-D41465KA-002"</f>
        <v>700-D41465KA-002</v>
      </c>
      <c r="B2206" t="s">
        <v>919</v>
      </c>
    </row>
    <row r="2207" spans="1:2" x14ac:dyDescent="0.3">
      <c r="A2207" t="str">
        <f>"700-WA36N-0817"</f>
        <v>700-WA36N-0817</v>
      </c>
      <c r="B2207" t="s">
        <v>798</v>
      </c>
    </row>
    <row r="2208" spans="1:2" x14ac:dyDescent="0.3">
      <c r="A2208" t="str">
        <f>"700-Y10-1835-W"</f>
        <v>700-Y10-1835-W</v>
      </c>
      <c r="B2208" t="s">
        <v>1241</v>
      </c>
    </row>
    <row r="2209" spans="1:2" x14ac:dyDescent="0.3">
      <c r="A2209" t="str">
        <f>"701-0485-145-0025A"</f>
        <v>701-0485-145-0025A</v>
      </c>
      <c r="B2209" t="s">
        <v>3736</v>
      </c>
    </row>
    <row r="2210" spans="1:2" x14ac:dyDescent="0.3">
      <c r="A2210" t="str">
        <f>"701-0530-02"</f>
        <v>701-0530-02</v>
      </c>
      <c r="B2210" t="s">
        <v>820</v>
      </c>
    </row>
    <row r="2211" spans="1:2" x14ac:dyDescent="0.3">
      <c r="A2211" t="str">
        <f>"701-0651-01"</f>
        <v>701-0651-01</v>
      </c>
      <c r="B2211" t="s">
        <v>1311</v>
      </c>
    </row>
    <row r="2212" spans="1:2" x14ac:dyDescent="0.3">
      <c r="A2212" t="str">
        <f>"701-0665-14"</f>
        <v>701-0665-14</v>
      </c>
      <c r="B2212" t="s">
        <v>821</v>
      </c>
    </row>
    <row r="2213" spans="1:2" x14ac:dyDescent="0.3">
      <c r="A2213" t="str">
        <f>"701-0689-02"</f>
        <v>701-0689-02</v>
      </c>
      <c r="B2213" t="s">
        <v>828</v>
      </c>
    </row>
    <row r="2214" spans="1:2" x14ac:dyDescent="0.3">
      <c r="A2214" t="str">
        <f>"701-0691-01"</f>
        <v>701-0691-01</v>
      </c>
      <c r="B2214" t="s">
        <v>1359</v>
      </c>
    </row>
    <row r="2215" spans="1:2" x14ac:dyDescent="0.3">
      <c r="A2215" t="str">
        <f>"701-0811-04"</f>
        <v>701-0811-04</v>
      </c>
      <c r="B2215" t="s">
        <v>1652</v>
      </c>
    </row>
    <row r="2216" spans="1:2" x14ac:dyDescent="0.3">
      <c r="A2216" t="str">
        <f>"701-0868-21"</f>
        <v>701-0868-21</v>
      </c>
      <c r="B2216" t="s">
        <v>1105</v>
      </c>
    </row>
    <row r="2217" spans="1:2" x14ac:dyDescent="0.3">
      <c r="A2217" t="str">
        <f>"701-0904-01"</f>
        <v>701-0904-01</v>
      </c>
      <c r="B2217" t="s">
        <v>2251</v>
      </c>
    </row>
    <row r="2218" spans="1:2" x14ac:dyDescent="0.3">
      <c r="A2218" t="str">
        <f>"701-0905-11"</f>
        <v>701-0905-11</v>
      </c>
      <c r="B2218" t="s">
        <v>1489</v>
      </c>
    </row>
    <row r="2219" spans="1:2" x14ac:dyDescent="0.3">
      <c r="A2219" t="str">
        <f>"7010FS952-5708"</f>
        <v>7010FS952-5708</v>
      </c>
      <c r="B2219" t="s">
        <v>132</v>
      </c>
    </row>
    <row r="2220" spans="1:2" x14ac:dyDescent="0.3">
      <c r="A2220" t="str">
        <f>"7010FS-952-5708"</f>
        <v>7010FS-952-5708</v>
      </c>
      <c r="B2220" t="s">
        <v>336</v>
      </c>
    </row>
    <row r="2221" spans="1:2" x14ac:dyDescent="0.3">
      <c r="A2221" t="str">
        <f>"701-1017-02-0123D"</f>
        <v>701-1017-02-0123D</v>
      </c>
      <c r="B2221" t="s">
        <v>1652</v>
      </c>
    </row>
    <row r="2222" spans="1:2" x14ac:dyDescent="0.3">
      <c r="A2222" t="str">
        <f>"701-1017-23"</f>
        <v>701-1017-23</v>
      </c>
      <c r="B2222" t="s">
        <v>1974</v>
      </c>
    </row>
    <row r="2223" spans="1:2" x14ac:dyDescent="0.3">
      <c r="A2223" t="str">
        <f>"701-1017-24"</f>
        <v>701-1017-24</v>
      </c>
      <c r="B2223" t="s">
        <v>4295</v>
      </c>
    </row>
    <row r="2224" spans="1:2" x14ac:dyDescent="0.3">
      <c r="A2224" t="str">
        <f>"701-1033-01"</f>
        <v>701-1033-01</v>
      </c>
      <c r="B2224" t="s">
        <v>1071</v>
      </c>
    </row>
    <row r="2225" spans="1:2" x14ac:dyDescent="0.3">
      <c r="A2225" t="str">
        <f>"70116-3573"</f>
        <v>70116-3573</v>
      </c>
      <c r="B2225" t="s">
        <v>481</v>
      </c>
    </row>
    <row r="2226" spans="1:2" x14ac:dyDescent="0.3">
      <c r="A2226" t="str">
        <f>"7013FR952P5"</f>
        <v>7013FR952P5</v>
      </c>
      <c r="B2226" t="s">
        <v>188</v>
      </c>
    </row>
    <row r="2227" spans="1:2" x14ac:dyDescent="0.3">
      <c r="A2227" t="str">
        <f>"7016-1"</f>
        <v>7016-1</v>
      </c>
      <c r="B2227" t="s">
        <v>4016</v>
      </c>
    </row>
    <row r="2228" spans="1:2" x14ac:dyDescent="0.3">
      <c r="A2228" t="str">
        <f>"7017-1"</f>
        <v>7017-1</v>
      </c>
      <c r="B2228" t="s">
        <v>2771</v>
      </c>
    </row>
    <row r="2229" spans="1:2" x14ac:dyDescent="0.3">
      <c r="A2229" t="str">
        <f>"7017-2"</f>
        <v>7017-2</v>
      </c>
      <c r="B2229" t="s">
        <v>3861</v>
      </c>
    </row>
    <row r="2230" spans="1:2" x14ac:dyDescent="0.3">
      <c r="A2230" t="str">
        <f>"702409-1025"</f>
        <v>702409-1025</v>
      </c>
      <c r="B2230" t="s">
        <v>3013</v>
      </c>
    </row>
    <row r="2231" spans="1:2" x14ac:dyDescent="0.3">
      <c r="A2231" t="str">
        <f>"702747-3"</f>
        <v>702747-3</v>
      </c>
      <c r="B2231" t="s">
        <v>3320</v>
      </c>
    </row>
    <row r="2232" spans="1:2" x14ac:dyDescent="0.3">
      <c r="A2232" t="str">
        <f>"70301-0001"</f>
        <v>70301-0001</v>
      </c>
      <c r="B2232" t="s">
        <v>475</v>
      </c>
    </row>
    <row r="2233" spans="1:2" x14ac:dyDescent="0.3">
      <c r="A2233" t="str">
        <f>"70310"</f>
        <v>70310</v>
      </c>
      <c r="B2233" t="s">
        <v>132</v>
      </c>
    </row>
    <row r="2234" spans="1:2" x14ac:dyDescent="0.3">
      <c r="A2234" t="str">
        <f>"70413002"</f>
        <v>70413002</v>
      </c>
      <c r="B2234" t="s">
        <v>3720</v>
      </c>
    </row>
    <row r="2235" spans="1:2" x14ac:dyDescent="0.3">
      <c r="A2235" t="str">
        <f>"70485"</f>
        <v>70485</v>
      </c>
      <c r="B2235" t="s">
        <v>2462</v>
      </c>
    </row>
    <row r="2236" spans="1:2" x14ac:dyDescent="0.3">
      <c r="A2236" t="str">
        <f>"704A33-698-045"</f>
        <v>704A33-698-045</v>
      </c>
      <c r="B2236" t="s">
        <v>1941</v>
      </c>
    </row>
    <row r="2237" spans="1:2" x14ac:dyDescent="0.3">
      <c r="A2237" t="str">
        <f>"7-0682-2"</f>
        <v>7-0682-2</v>
      </c>
      <c r="B2237" t="s">
        <v>136</v>
      </c>
    </row>
    <row r="2238" spans="1:2" x14ac:dyDescent="0.3">
      <c r="A2238" t="str">
        <f>"706A36560052"</f>
        <v>706A36560052</v>
      </c>
      <c r="B2238" t="s">
        <v>487</v>
      </c>
    </row>
    <row r="2239" spans="1:2" x14ac:dyDescent="0.3">
      <c r="A2239" t="str">
        <f>"706A36560061"</f>
        <v>706A36560061</v>
      </c>
      <c r="B2239" t="s">
        <v>487</v>
      </c>
    </row>
    <row r="2240" spans="1:2" x14ac:dyDescent="0.3">
      <c r="A2240" t="s">
        <v>957</v>
      </c>
      <c r="B2240" t="s">
        <v>958</v>
      </c>
    </row>
    <row r="2241" spans="1:2" x14ac:dyDescent="0.3">
      <c r="A2241" t="str">
        <f>"7079"</f>
        <v>7079</v>
      </c>
      <c r="B2241" t="s">
        <v>11</v>
      </c>
    </row>
    <row r="2242" spans="1:2" x14ac:dyDescent="0.3">
      <c r="A2242" t="str">
        <f>"70801-0032"</f>
        <v>70801-0032</v>
      </c>
      <c r="B2242" t="s">
        <v>475</v>
      </c>
    </row>
    <row r="2243" spans="1:2" x14ac:dyDescent="0.3">
      <c r="A2243" t="str">
        <f>"7088001-1"</f>
        <v>7088001-1</v>
      </c>
      <c r="B2243" t="s">
        <v>4251</v>
      </c>
    </row>
    <row r="2244" spans="1:2" x14ac:dyDescent="0.3">
      <c r="A2244" t="str">
        <f>"70950-0001"</f>
        <v>70950-0001</v>
      </c>
      <c r="B2244" t="s">
        <v>504</v>
      </c>
    </row>
    <row r="2245" spans="1:2" x14ac:dyDescent="0.3">
      <c r="A2245" t="str">
        <f>"709698"</f>
        <v>709698</v>
      </c>
      <c r="B2245" t="s">
        <v>1364</v>
      </c>
    </row>
    <row r="2246" spans="1:2" x14ac:dyDescent="0.3">
      <c r="A2246" t="str">
        <f>"70HT"</f>
        <v>70HT</v>
      </c>
      <c r="B2246" t="s">
        <v>916</v>
      </c>
    </row>
    <row r="2247" spans="1:2" x14ac:dyDescent="0.3">
      <c r="A2247" t="str">
        <f>"710081"</f>
        <v>710081</v>
      </c>
      <c r="B2247" t="s">
        <v>3676</v>
      </c>
    </row>
    <row r="2248" spans="1:2" x14ac:dyDescent="0.3">
      <c r="A2248" t="str">
        <f>"7-1045-201"</f>
        <v>7-1045-201</v>
      </c>
      <c r="B2248" t="s">
        <v>181</v>
      </c>
    </row>
    <row r="2249" spans="1:2" x14ac:dyDescent="0.3">
      <c r="A2249" t="str">
        <f>"710540"</f>
        <v>710540</v>
      </c>
      <c r="B2249" t="s">
        <v>4282</v>
      </c>
    </row>
    <row r="2250" spans="1:2" x14ac:dyDescent="0.3">
      <c r="A2250" t="str">
        <f>"7-1070-201"</f>
        <v>7-1070-201</v>
      </c>
      <c r="B2250" t="s">
        <v>181</v>
      </c>
    </row>
    <row r="2251" spans="1:2" x14ac:dyDescent="0.3">
      <c r="A2251" t="str">
        <f>"7-1075-201"</f>
        <v>7-1075-201</v>
      </c>
      <c r="B2251" t="s">
        <v>181</v>
      </c>
    </row>
    <row r="2252" spans="1:2" x14ac:dyDescent="0.3">
      <c r="A2252" t="str">
        <f>"7-1080-201"</f>
        <v>7-1080-201</v>
      </c>
      <c r="B2252" t="s">
        <v>181</v>
      </c>
    </row>
    <row r="2253" spans="1:2" x14ac:dyDescent="0.3">
      <c r="A2253" t="str">
        <f>"711-1024-001"</f>
        <v>711-1024-001</v>
      </c>
      <c r="B2253" t="s">
        <v>13</v>
      </c>
    </row>
    <row r="2254" spans="1:2" x14ac:dyDescent="0.3">
      <c r="A2254" t="str">
        <f>"71140"</f>
        <v>71140</v>
      </c>
      <c r="B2254" t="s">
        <v>1319</v>
      </c>
    </row>
    <row r="2255" spans="1:2" x14ac:dyDescent="0.3">
      <c r="A2255" t="str">
        <f>"7114MR-952-5770"</f>
        <v>7114MR-952-5770</v>
      </c>
      <c r="B2255" t="s">
        <v>2645</v>
      </c>
    </row>
    <row r="2256" spans="1:2" x14ac:dyDescent="0.3">
      <c r="A2256" t="str">
        <f>"711922-1"</f>
        <v>711922-1</v>
      </c>
      <c r="B2256" t="s">
        <v>4520</v>
      </c>
    </row>
    <row r="2257" spans="1:2" x14ac:dyDescent="0.3">
      <c r="A2257" t="str">
        <f>"7119M71G07"</f>
        <v>7119M71G07</v>
      </c>
      <c r="B2257" t="s">
        <v>1910</v>
      </c>
    </row>
    <row r="2258" spans="1:2" x14ac:dyDescent="0.3">
      <c r="A2258" t="str">
        <f>"71233-0001ATS"</f>
        <v>71233-0001ATS</v>
      </c>
      <c r="B2258" t="s">
        <v>1787</v>
      </c>
    </row>
    <row r="2259" spans="1:2" x14ac:dyDescent="0.3">
      <c r="A2259" t="str">
        <f>"712678"</f>
        <v>712678</v>
      </c>
      <c r="B2259" t="s">
        <v>225</v>
      </c>
    </row>
    <row r="2260" spans="1:2" x14ac:dyDescent="0.3">
      <c r="A2260" t="str">
        <f>"712B5MRL-952-N"</f>
        <v>712B5MRL-952-N</v>
      </c>
      <c r="B2260" t="s">
        <v>2645</v>
      </c>
    </row>
    <row r="2261" spans="1:2" x14ac:dyDescent="0.3">
      <c r="A2261" t="str">
        <f>"7133152-3"</f>
        <v>7133152-3</v>
      </c>
      <c r="B2261" t="s">
        <v>3547</v>
      </c>
    </row>
    <row r="2262" spans="1:2" x14ac:dyDescent="0.3">
      <c r="A2262" t="str">
        <f>"7133152-4"</f>
        <v>7133152-4</v>
      </c>
      <c r="B2262" t="s">
        <v>3548</v>
      </c>
    </row>
    <row r="2263" spans="1:2" x14ac:dyDescent="0.3">
      <c r="A2263" t="str">
        <f>"713396-2"</f>
        <v>713396-2</v>
      </c>
      <c r="B2263" t="s">
        <v>3087</v>
      </c>
    </row>
    <row r="2264" spans="1:2" x14ac:dyDescent="0.3">
      <c r="A2264" t="str">
        <f>"713665-2"</f>
        <v>713665-2</v>
      </c>
      <c r="B2264" t="s">
        <v>2298</v>
      </c>
    </row>
    <row r="2265" spans="1:2" x14ac:dyDescent="0.3">
      <c r="A2265" t="str">
        <f>"713805-15"</f>
        <v>713805-15</v>
      </c>
      <c r="B2265" t="s">
        <v>3086</v>
      </c>
    </row>
    <row r="2266" spans="1:2" x14ac:dyDescent="0.3">
      <c r="A2266" t="str">
        <f>"714076-10"</f>
        <v>714076-10</v>
      </c>
      <c r="B2266" t="s">
        <v>629</v>
      </c>
    </row>
    <row r="2267" spans="1:2" x14ac:dyDescent="0.3">
      <c r="A2267" t="str">
        <f>"714226"</f>
        <v>714226</v>
      </c>
      <c r="B2267" t="s">
        <v>3677</v>
      </c>
    </row>
    <row r="2268" spans="1:2" x14ac:dyDescent="0.3">
      <c r="A2268" t="str">
        <f>"714672"</f>
        <v>714672</v>
      </c>
      <c r="B2268" t="s">
        <v>1572</v>
      </c>
    </row>
    <row r="2269" spans="1:2" x14ac:dyDescent="0.3">
      <c r="A2269" t="str">
        <f>"715"</f>
        <v>715</v>
      </c>
      <c r="B2269" t="s">
        <v>786</v>
      </c>
    </row>
    <row r="2270" spans="1:2" x14ac:dyDescent="0.3">
      <c r="A2270" t="str">
        <f>"7152"</f>
        <v>7152</v>
      </c>
      <c r="B2270" t="s">
        <v>11</v>
      </c>
    </row>
    <row r="2271" spans="1:2" x14ac:dyDescent="0.3">
      <c r="A2271" t="str">
        <f>"71521BPE"</f>
        <v>71521BPE</v>
      </c>
      <c r="B2271" t="s">
        <v>11</v>
      </c>
    </row>
    <row r="2272" spans="1:2" x14ac:dyDescent="0.3">
      <c r="A2272" t="str">
        <f>"7152AS15"</f>
        <v>7152AS15</v>
      </c>
      <c r="B2272" t="s">
        <v>11</v>
      </c>
    </row>
    <row r="2273" spans="1:2" x14ac:dyDescent="0.3">
      <c r="A2273" t="str">
        <f>"715742-1"</f>
        <v>715742-1</v>
      </c>
      <c r="B2273" t="s">
        <v>132</v>
      </c>
    </row>
    <row r="2274" spans="1:2" x14ac:dyDescent="0.3">
      <c r="A2274" t="str">
        <f>"715742-2"</f>
        <v>715742-2</v>
      </c>
      <c r="B2274" t="s">
        <v>2541</v>
      </c>
    </row>
    <row r="2275" spans="1:2" x14ac:dyDescent="0.3">
      <c r="A2275" t="str">
        <f>"716154-1"</f>
        <v>716154-1</v>
      </c>
      <c r="B2275" t="s">
        <v>481</v>
      </c>
    </row>
    <row r="2276" spans="1:2" x14ac:dyDescent="0.3">
      <c r="A2276" t="str">
        <f>"718"</f>
        <v>718</v>
      </c>
      <c r="B2276" t="s">
        <v>11</v>
      </c>
    </row>
    <row r="2277" spans="1:2" x14ac:dyDescent="0.3">
      <c r="A2277" t="str">
        <f>"718(OL)"</f>
        <v>718(OL)</v>
      </c>
      <c r="B2277" t="s">
        <v>11</v>
      </c>
    </row>
    <row r="2278" spans="1:2" x14ac:dyDescent="0.3">
      <c r="A2278" t="str">
        <f>"71889-3"</f>
        <v>71889-3</v>
      </c>
      <c r="B2278" t="s">
        <v>2303</v>
      </c>
    </row>
    <row r="2279" spans="1:2" x14ac:dyDescent="0.3">
      <c r="A2279" t="str">
        <f>"71973"</f>
        <v>71973</v>
      </c>
      <c r="B2279" t="s">
        <v>336</v>
      </c>
    </row>
    <row r="2280" spans="1:2" x14ac:dyDescent="0.3">
      <c r="A2280" t="str">
        <f>"72053"</f>
        <v>72053</v>
      </c>
      <c r="B2280" t="s">
        <v>336</v>
      </c>
    </row>
    <row r="2281" spans="1:2" x14ac:dyDescent="0.3">
      <c r="A2281" t="str">
        <f>"72059"</f>
        <v>72059</v>
      </c>
      <c r="B2281" t="s">
        <v>1496</v>
      </c>
    </row>
    <row r="2282" spans="1:2" x14ac:dyDescent="0.3">
      <c r="A2282" t="str">
        <f>"720752-10"</f>
        <v>720752-10</v>
      </c>
      <c r="B2282" t="s">
        <v>188</v>
      </c>
    </row>
    <row r="2283" spans="1:2" x14ac:dyDescent="0.3">
      <c r="A2283" t="str">
        <f>"720752-14"</f>
        <v>720752-14</v>
      </c>
      <c r="B2283" t="s">
        <v>188</v>
      </c>
    </row>
    <row r="2284" spans="1:2" x14ac:dyDescent="0.3">
      <c r="A2284" t="str">
        <f>"720752-33"</f>
        <v>720752-33</v>
      </c>
      <c r="B2284" t="s">
        <v>188</v>
      </c>
    </row>
    <row r="2285" spans="1:2" x14ac:dyDescent="0.3">
      <c r="A2285" t="str">
        <f>"721-0568-010"</f>
        <v>721-0568-010</v>
      </c>
      <c r="B2285" t="s">
        <v>481</v>
      </c>
    </row>
    <row r="2286" spans="1:2" x14ac:dyDescent="0.3">
      <c r="A2286" t="str">
        <f>"721-0568-030"</f>
        <v>721-0568-030</v>
      </c>
      <c r="B2286" t="s">
        <v>481</v>
      </c>
    </row>
    <row r="2287" spans="1:2" x14ac:dyDescent="0.3">
      <c r="A2287" t="str">
        <f>"721-0568-040"</f>
        <v>721-0568-040</v>
      </c>
      <c r="B2287" t="s">
        <v>1465</v>
      </c>
    </row>
    <row r="2288" spans="1:2" x14ac:dyDescent="0.3">
      <c r="A2288" t="str">
        <f>"7214FS-972-P4"</f>
        <v>7214FS-972-P4</v>
      </c>
      <c r="B2288" t="s">
        <v>4740</v>
      </c>
    </row>
    <row r="2289" spans="1:2" x14ac:dyDescent="0.3">
      <c r="A2289" t="str">
        <f>"7217FS-952-T"</f>
        <v>7217FS-952-T</v>
      </c>
      <c r="B2289" t="s">
        <v>2645</v>
      </c>
    </row>
    <row r="2290" spans="1:2" x14ac:dyDescent="0.3">
      <c r="A2290" t="str">
        <f>"7218MS-952-T"</f>
        <v>7218MS-952-T</v>
      </c>
      <c r="B2290" t="s">
        <v>3705</v>
      </c>
    </row>
    <row r="2291" spans="1:2" x14ac:dyDescent="0.3">
      <c r="A2291" t="str">
        <f>"7220MS-952-T"</f>
        <v>7220MS-952-T</v>
      </c>
      <c r="B2291" t="s">
        <v>2645</v>
      </c>
    </row>
    <row r="2292" spans="1:2" x14ac:dyDescent="0.3">
      <c r="A2292" t="str">
        <f>"72219-1"</f>
        <v>72219-1</v>
      </c>
      <c r="B2292" t="s">
        <v>2992</v>
      </c>
    </row>
    <row r="2293" spans="1:2" x14ac:dyDescent="0.3">
      <c r="A2293" t="str">
        <f>"72414-1"</f>
        <v>72414-1</v>
      </c>
      <c r="B2293" t="s">
        <v>2465</v>
      </c>
    </row>
    <row r="2294" spans="1:2" x14ac:dyDescent="0.3">
      <c r="A2294" t="str">
        <f>"72477-1"</f>
        <v>72477-1</v>
      </c>
      <c r="B2294" t="s">
        <v>18</v>
      </c>
    </row>
    <row r="2295" spans="1:2" x14ac:dyDescent="0.3">
      <c r="A2295" t="str">
        <f>"725054"</f>
        <v>725054</v>
      </c>
      <c r="B2295" t="s">
        <v>3049</v>
      </c>
    </row>
    <row r="2296" spans="1:2" x14ac:dyDescent="0.3">
      <c r="A2296" t="str">
        <f>"72515-2"</f>
        <v>72515-2</v>
      </c>
      <c r="B2296" t="s">
        <v>128</v>
      </c>
    </row>
    <row r="2297" spans="1:2" x14ac:dyDescent="0.3">
      <c r="A2297" t="str">
        <f>"727604-5"</f>
        <v>727604-5</v>
      </c>
      <c r="B2297" t="s">
        <v>635</v>
      </c>
    </row>
    <row r="2298" spans="1:2" x14ac:dyDescent="0.3">
      <c r="A2298" t="str">
        <f>"72847-1"</f>
        <v>72847-1</v>
      </c>
      <c r="B2298" t="s">
        <v>3146</v>
      </c>
    </row>
    <row r="2299" spans="1:2" x14ac:dyDescent="0.3">
      <c r="A2299" t="str">
        <f>"7-2875-2"</f>
        <v>7-2875-2</v>
      </c>
      <c r="B2299" t="s">
        <v>3779</v>
      </c>
    </row>
    <row r="2300" spans="1:2" x14ac:dyDescent="0.3">
      <c r="A2300" t="str">
        <f>"72876-1"</f>
        <v>72876-1</v>
      </c>
      <c r="B2300" t="s">
        <v>4369</v>
      </c>
    </row>
    <row r="2301" spans="1:2" x14ac:dyDescent="0.3">
      <c r="A2301" t="str">
        <f>"72876-5"</f>
        <v>72876-5</v>
      </c>
      <c r="B2301" t="s">
        <v>4369</v>
      </c>
    </row>
    <row r="2302" spans="1:2" x14ac:dyDescent="0.3">
      <c r="A2302" t="str">
        <f>"72878-1"</f>
        <v>72878-1</v>
      </c>
      <c r="B2302" t="s">
        <v>4370</v>
      </c>
    </row>
    <row r="2303" spans="1:2" x14ac:dyDescent="0.3">
      <c r="A2303" t="str">
        <f>"72878-2"</f>
        <v>72878-2</v>
      </c>
      <c r="B2303" t="s">
        <v>4144</v>
      </c>
    </row>
    <row r="2304" spans="1:2" x14ac:dyDescent="0.3">
      <c r="A2304" t="str">
        <f>"728872-1"</f>
        <v>728872-1</v>
      </c>
      <c r="B2304" t="s">
        <v>4417</v>
      </c>
    </row>
    <row r="2305" spans="1:2" x14ac:dyDescent="0.3">
      <c r="A2305" t="str">
        <f>"72940-2211"</f>
        <v>72940-2211</v>
      </c>
      <c r="B2305" t="s">
        <v>133</v>
      </c>
    </row>
    <row r="2306" spans="1:2" x14ac:dyDescent="0.3">
      <c r="A2306" t="str">
        <f>"72981-1"</f>
        <v>72981-1</v>
      </c>
      <c r="B2306" t="s">
        <v>4422</v>
      </c>
    </row>
    <row r="2307" spans="1:2" x14ac:dyDescent="0.3">
      <c r="A2307" t="str">
        <f>"72982-1"</f>
        <v>72982-1</v>
      </c>
      <c r="B2307" t="s">
        <v>3941</v>
      </c>
    </row>
    <row r="2308" spans="1:2" x14ac:dyDescent="0.3">
      <c r="A2308" t="str">
        <f>"72983-3"</f>
        <v>72983-3</v>
      </c>
      <c r="B2308" t="s">
        <v>3942</v>
      </c>
    </row>
    <row r="2309" spans="1:2" x14ac:dyDescent="0.3">
      <c r="A2309" t="str">
        <f>"72984-1"</f>
        <v>72984-1</v>
      </c>
      <c r="B2309" t="s">
        <v>3942</v>
      </c>
    </row>
    <row r="2310" spans="1:2" x14ac:dyDescent="0.3">
      <c r="A2310" t="str">
        <f>"7301034-45"</f>
        <v>7301034-45</v>
      </c>
      <c r="B2310" t="s">
        <v>3532</v>
      </c>
    </row>
    <row r="2311" spans="1:2" x14ac:dyDescent="0.3">
      <c r="A2311" t="str">
        <f>"7311055-503"</f>
        <v>7311055-503</v>
      </c>
      <c r="B2311" t="s">
        <v>1319</v>
      </c>
    </row>
    <row r="2312" spans="1:2" x14ac:dyDescent="0.3">
      <c r="A2312" t="str">
        <f>"7311095-503"</f>
        <v>7311095-503</v>
      </c>
      <c r="B2312" t="s">
        <v>2112</v>
      </c>
    </row>
    <row r="2313" spans="1:2" x14ac:dyDescent="0.3">
      <c r="A2313" t="str">
        <f>"7311095-505"</f>
        <v>7311095-505</v>
      </c>
      <c r="B2313" t="s">
        <v>2112</v>
      </c>
    </row>
    <row r="2314" spans="1:2" x14ac:dyDescent="0.3">
      <c r="A2314" t="str">
        <f>"7312218-27"</f>
        <v>7312218-27</v>
      </c>
      <c r="B2314" t="s">
        <v>116</v>
      </c>
    </row>
    <row r="2315" spans="1:2" x14ac:dyDescent="0.3">
      <c r="A2315" t="str">
        <f>"7312218-3"</f>
        <v>7312218-3</v>
      </c>
      <c r="B2315" t="s">
        <v>956</v>
      </c>
    </row>
    <row r="2316" spans="1:2" x14ac:dyDescent="0.3">
      <c r="A2316" t="str">
        <f>"7312219-7"</f>
        <v>7312219-7</v>
      </c>
      <c r="B2316" t="s">
        <v>1319</v>
      </c>
    </row>
    <row r="2317" spans="1:2" x14ac:dyDescent="0.3">
      <c r="A2317" t="str">
        <f>"731559"</f>
        <v>731559</v>
      </c>
      <c r="B2317" t="s">
        <v>353</v>
      </c>
    </row>
    <row r="2318" spans="1:2" x14ac:dyDescent="0.3">
      <c r="A2318" t="str">
        <f>"73161"</f>
        <v>73161</v>
      </c>
      <c r="B2318" t="s">
        <v>188</v>
      </c>
    </row>
    <row r="2319" spans="1:2" x14ac:dyDescent="0.3">
      <c r="A2319" t="str">
        <f>"7331MS952T"</f>
        <v>7331MS952T</v>
      </c>
      <c r="B2319" t="s">
        <v>2759</v>
      </c>
    </row>
    <row r="2320" spans="1:2" x14ac:dyDescent="0.3">
      <c r="A2320" t="str">
        <f>"73383"</f>
        <v>73383</v>
      </c>
      <c r="B2320" t="s">
        <v>1858</v>
      </c>
    </row>
    <row r="2321" spans="1:2" x14ac:dyDescent="0.3">
      <c r="A2321" t="str">
        <f>"733B9FT972"</f>
        <v>733B9FT972</v>
      </c>
      <c r="B2321" t="s">
        <v>132</v>
      </c>
    </row>
    <row r="2322" spans="1:2" x14ac:dyDescent="0.3">
      <c r="A2322" t="str">
        <f>"733B9FT-972-P3"</f>
        <v>733B9FT-972-P3</v>
      </c>
      <c r="B2322" t="s">
        <v>132</v>
      </c>
    </row>
    <row r="2323" spans="1:2" x14ac:dyDescent="0.3">
      <c r="A2323" t="str">
        <f>"7341"</f>
        <v>7341</v>
      </c>
      <c r="B2323" t="s">
        <v>623</v>
      </c>
    </row>
    <row r="2324" spans="1:2" x14ac:dyDescent="0.3">
      <c r="A2324" t="str">
        <f>"7347MT-952-T"</f>
        <v>7347MT-952-T</v>
      </c>
      <c r="B2324" t="s">
        <v>150</v>
      </c>
    </row>
    <row r="2325" spans="1:2" x14ac:dyDescent="0.3">
      <c r="A2325" t="str">
        <f>"735511A"</f>
        <v>735511A</v>
      </c>
      <c r="B2325" t="s">
        <v>1620</v>
      </c>
    </row>
    <row r="2326" spans="1:2" x14ac:dyDescent="0.3">
      <c r="A2326" t="str">
        <f>"73584-1"</f>
        <v>73584-1</v>
      </c>
      <c r="B2326" t="s">
        <v>2891</v>
      </c>
    </row>
    <row r="2327" spans="1:2" x14ac:dyDescent="0.3">
      <c r="A2327" t="str">
        <f>"737"</f>
        <v>737</v>
      </c>
      <c r="B2327" t="s">
        <v>623</v>
      </c>
    </row>
    <row r="2328" spans="1:2" x14ac:dyDescent="0.3">
      <c r="A2328" t="str">
        <f>"737 (OL)"</f>
        <v>737 (OL)</v>
      </c>
      <c r="B2328" t="s">
        <v>623</v>
      </c>
    </row>
    <row r="2329" spans="1:2" x14ac:dyDescent="0.3">
      <c r="A2329" t="str">
        <f>"7377XJ4BSA27-13"</f>
        <v>7377XJ4BSA27-13</v>
      </c>
      <c r="B2329" t="s">
        <v>4510</v>
      </c>
    </row>
    <row r="2330" spans="1:2" x14ac:dyDescent="0.3">
      <c r="A2330" t="str">
        <f>"737AS15"</f>
        <v>737AS15</v>
      </c>
      <c r="B2330" t="s">
        <v>11</v>
      </c>
    </row>
    <row r="2331" spans="1:2" x14ac:dyDescent="0.3">
      <c r="A2331" t="str">
        <f>"738027"</f>
        <v>738027</v>
      </c>
      <c r="B2331" t="s">
        <v>336</v>
      </c>
    </row>
    <row r="2332" spans="1:2" x14ac:dyDescent="0.3">
      <c r="A2332" t="str">
        <f>"738277-3"</f>
        <v>738277-3</v>
      </c>
      <c r="B2332" t="s">
        <v>2613</v>
      </c>
    </row>
    <row r="2333" spans="1:2" x14ac:dyDescent="0.3">
      <c r="A2333" t="str">
        <f>"7387"</f>
        <v>7387</v>
      </c>
      <c r="B2333" t="s">
        <v>11</v>
      </c>
    </row>
    <row r="2334" spans="1:2" x14ac:dyDescent="0.3">
      <c r="A2334" t="str">
        <f>"7387(OL)"</f>
        <v>7387(OL)</v>
      </c>
      <c r="B2334" t="s">
        <v>4011</v>
      </c>
    </row>
    <row r="2335" spans="1:2" x14ac:dyDescent="0.3">
      <c r="A2335" t="str">
        <f>"739-013-001"</f>
        <v>739-013-001</v>
      </c>
      <c r="B2335" t="s">
        <v>220</v>
      </c>
    </row>
    <row r="2336" spans="1:2" x14ac:dyDescent="0.3">
      <c r="A2336" t="str">
        <f>"73938"</f>
        <v>73938</v>
      </c>
      <c r="B2336" t="s">
        <v>2463</v>
      </c>
    </row>
    <row r="2337" spans="1:2" x14ac:dyDescent="0.3">
      <c r="A2337" t="str">
        <f>"73966"</f>
        <v>73966</v>
      </c>
      <c r="B2337" t="s">
        <v>130</v>
      </c>
    </row>
    <row r="2338" spans="1:2" x14ac:dyDescent="0.3">
      <c r="A2338" t="str">
        <f>"740001"</f>
        <v>740001</v>
      </c>
      <c r="B2338" t="s">
        <v>3884</v>
      </c>
    </row>
    <row r="2339" spans="1:2" x14ac:dyDescent="0.3">
      <c r="A2339" t="str">
        <f>"740007"</f>
        <v>740007</v>
      </c>
      <c r="B2339" t="s">
        <v>1245</v>
      </c>
    </row>
    <row r="2340" spans="1:2" x14ac:dyDescent="0.3">
      <c r="A2340" t="str">
        <f>"74065"</f>
        <v>74065</v>
      </c>
      <c r="B2340" t="s">
        <v>151</v>
      </c>
    </row>
    <row r="2341" spans="1:2" x14ac:dyDescent="0.3">
      <c r="A2341" t="str">
        <f>"74068"</f>
        <v>74068</v>
      </c>
      <c r="B2341" t="s">
        <v>151</v>
      </c>
    </row>
    <row r="2342" spans="1:2" x14ac:dyDescent="0.3">
      <c r="A2342" t="str">
        <f>"74637"</f>
        <v>74637</v>
      </c>
      <c r="B2342" t="s">
        <v>956</v>
      </c>
    </row>
    <row r="2343" spans="1:2" x14ac:dyDescent="0.3">
      <c r="A2343" t="str">
        <f>"74873-1"</f>
        <v>74873-1</v>
      </c>
      <c r="B2343" t="s">
        <v>3937</v>
      </c>
    </row>
    <row r="2344" spans="1:2" x14ac:dyDescent="0.3">
      <c r="A2344" t="str">
        <f>"74876-1"</f>
        <v>74876-1</v>
      </c>
      <c r="B2344" t="s">
        <v>3003</v>
      </c>
    </row>
    <row r="2345" spans="1:2" x14ac:dyDescent="0.3">
      <c r="A2345" t="str">
        <f>"74876-3"</f>
        <v>74876-3</v>
      </c>
      <c r="B2345" t="s">
        <v>3773</v>
      </c>
    </row>
    <row r="2346" spans="1:2" x14ac:dyDescent="0.3">
      <c r="A2346" t="str">
        <f>"74877-1"</f>
        <v>74877-1</v>
      </c>
      <c r="B2346" t="s">
        <v>2992</v>
      </c>
    </row>
    <row r="2347" spans="1:2" x14ac:dyDescent="0.3">
      <c r="A2347" t="str">
        <f>"750005003"</f>
        <v>750005003</v>
      </c>
      <c r="B2347" t="s">
        <v>3561</v>
      </c>
    </row>
    <row r="2348" spans="1:2" x14ac:dyDescent="0.3">
      <c r="A2348" t="str">
        <f>"750006011-2"</f>
        <v>750006011-2</v>
      </c>
      <c r="B2348" t="s">
        <v>3563</v>
      </c>
    </row>
    <row r="2349" spans="1:2" x14ac:dyDescent="0.3">
      <c r="A2349" t="str">
        <f>"7512"</f>
        <v>7512</v>
      </c>
      <c r="B2349" t="s">
        <v>623</v>
      </c>
    </row>
    <row r="2350" spans="1:2" x14ac:dyDescent="0.3">
      <c r="A2350" t="str">
        <f>"7514081-901"</f>
        <v>7514081-901</v>
      </c>
      <c r="B2350" t="s">
        <v>876</v>
      </c>
    </row>
    <row r="2351" spans="1:2" x14ac:dyDescent="0.3">
      <c r="A2351" t="str">
        <f>"7522-1-11"</f>
        <v>7522-1-11</v>
      </c>
      <c r="B2351" t="s">
        <v>490</v>
      </c>
    </row>
    <row r="2352" spans="1:2" x14ac:dyDescent="0.3">
      <c r="A2352" t="str">
        <f>"754-8440-005"</f>
        <v>754-8440-005</v>
      </c>
      <c r="B2352" t="s">
        <v>2798</v>
      </c>
    </row>
    <row r="2353" spans="1:2" x14ac:dyDescent="0.3">
      <c r="A2353" t="str">
        <f>"7552-3"</f>
        <v>7552-3</v>
      </c>
      <c r="B2353" t="s">
        <v>4691</v>
      </c>
    </row>
    <row r="2354" spans="1:2" x14ac:dyDescent="0.3">
      <c r="A2354" t="str">
        <f>"756804-1"</f>
        <v>756804-1</v>
      </c>
      <c r="B2354" t="s">
        <v>2298</v>
      </c>
    </row>
    <row r="2355" spans="1:2" x14ac:dyDescent="0.3">
      <c r="A2355" t="str">
        <f>"75705-01"</f>
        <v>75705-01</v>
      </c>
      <c r="B2355" t="s">
        <v>1475</v>
      </c>
    </row>
    <row r="2356" spans="1:2" x14ac:dyDescent="0.3">
      <c r="A2356" t="str">
        <f>"75736"</f>
        <v>75736</v>
      </c>
      <c r="B2356" t="s">
        <v>629</v>
      </c>
    </row>
    <row r="2357" spans="1:2" x14ac:dyDescent="0.3">
      <c r="A2357" t="str">
        <f>"7577741"</f>
        <v>7577741</v>
      </c>
      <c r="B2357" t="s">
        <v>635</v>
      </c>
    </row>
    <row r="2358" spans="1:2" x14ac:dyDescent="0.3">
      <c r="A2358" t="str">
        <f>"7578137-101"</f>
        <v>7578137-101</v>
      </c>
      <c r="B2358" t="s">
        <v>170</v>
      </c>
    </row>
    <row r="2359" spans="1:2" x14ac:dyDescent="0.3">
      <c r="A2359" t="str">
        <f>"7583142"</f>
        <v>7583142</v>
      </c>
      <c r="B2359" t="s">
        <v>635</v>
      </c>
    </row>
    <row r="2360" spans="1:2" x14ac:dyDescent="0.3">
      <c r="A2360" t="str">
        <f>"7584001"</f>
        <v>7584001</v>
      </c>
      <c r="B2360" t="s">
        <v>1237</v>
      </c>
    </row>
    <row r="2361" spans="1:2" x14ac:dyDescent="0.3">
      <c r="A2361" t="str">
        <f>"75906"</f>
        <v>75906</v>
      </c>
      <c r="B2361" t="s">
        <v>336</v>
      </c>
    </row>
    <row r="2362" spans="1:2" x14ac:dyDescent="0.3">
      <c r="A2362" t="str">
        <f>"7593108-101"</f>
        <v>7593108-101</v>
      </c>
      <c r="B2362" t="s">
        <v>635</v>
      </c>
    </row>
    <row r="2363" spans="1:2" x14ac:dyDescent="0.3">
      <c r="A2363" t="str">
        <f>"75T4Q/CL/SC28V"</f>
        <v>75T4Q/CL/SC28V</v>
      </c>
      <c r="B2363" t="s">
        <v>1409</v>
      </c>
    </row>
    <row r="2364" spans="1:2" x14ac:dyDescent="0.3">
      <c r="A2364" t="str">
        <f>"7600763"</f>
        <v>7600763</v>
      </c>
      <c r="B2364" t="s">
        <v>1116</v>
      </c>
    </row>
    <row r="2365" spans="1:2" x14ac:dyDescent="0.3">
      <c r="A2365" t="str">
        <f>"760258"</f>
        <v>760258</v>
      </c>
      <c r="B2365" t="s">
        <v>1341</v>
      </c>
    </row>
    <row r="2366" spans="1:2" x14ac:dyDescent="0.3">
      <c r="A2366" t="str">
        <f>"760830"</f>
        <v>760830</v>
      </c>
      <c r="B2366" t="s">
        <v>2298</v>
      </c>
    </row>
    <row r="2367" spans="1:2" x14ac:dyDescent="0.3">
      <c r="A2367" t="str">
        <f>"7612"</f>
        <v>7612</v>
      </c>
      <c r="B2367" t="s">
        <v>129</v>
      </c>
    </row>
    <row r="2368" spans="1:2" x14ac:dyDescent="0.3">
      <c r="A2368" t="str">
        <f>"76-3200"</f>
        <v>76-3200</v>
      </c>
      <c r="B2368" t="s">
        <v>686</v>
      </c>
    </row>
    <row r="2369" spans="1:2" x14ac:dyDescent="0.3">
      <c r="A2369" t="str">
        <f>"76-3220"</f>
        <v>76-3220</v>
      </c>
      <c r="B2369" t="s">
        <v>3440</v>
      </c>
    </row>
    <row r="2370" spans="1:2" x14ac:dyDescent="0.3">
      <c r="A2370" t="str">
        <f>"763832-1"</f>
        <v>763832-1</v>
      </c>
      <c r="B2370" t="s">
        <v>220</v>
      </c>
    </row>
    <row r="2371" spans="1:2" x14ac:dyDescent="0.3">
      <c r="A2371" t="str">
        <f>"763832-2"</f>
        <v>763832-2</v>
      </c>
      <c r="B2371" t="s">
        <v>220</v>
      </c>
    </row>
    <row r="2372" spans="1:2" x14ac:dyDescent="0.3">
      <c r="A2372" t="str">
        <f>"763832-3"</f>
        <v>763832-3</v>
      </c>
      <c r="B2372" t="s">
        <v>1571</v>
      </c>
    </row>
    <row r="2373" spans="1:2" x14ac:dyDescent="0.3">
      <c r="A2373" t="str">
        <f>"763832-4"</f>
        <v>763832-4</v>
      </c>
      <c r="B2373" t="s">
        <v>220</v>
      </c>
    </row>
    <row r="2374" spans="1:2" x14ac:dyDescent="0.3">
      <c r="A2374" t="str">
        <f>"764002"</f>
        <v>764002</v>
      </c>
      <c r="B2374" t="s">
        <v>132</v>
      </c>
    </row>
    <row r="2375" spans="1:2" x14ac:dyDescent="0.3">
      <c r="A2375" t="str">
        <f>"76510"</f>
        <v>76510</v>
      </c>
      <c r="B2375" t="s">
        <v>336</v>
      </c>
    </row>
    <row r="2376" spans="1:2" x14ac:dyDescent="0.3">
      <c r="A2376" t="str">
        <f>"7664K5"</f>
        <v>7664K5</v>
      </c>
    </row>
    <row r="2377" spans="1:2" x14ac:dyDescent="0.3">
      <c r="A2377" t="str">
        <f>"767"</f>
        <v>767</v>
      </c>
      <c r="B2377" t="s">
        <v>11</v>
      </c>
    </row>
    <row r="2378" spans="1:2" x14ac:dyDescent="0.3">
      <c r="A2378" t="str">
        <f>"770006"</f>
        <v>770006</v>
      </c>
      <c r="B2378" t="s">
        <v>635</v>
      </c>
    </row>
    <row r="2379" spans="1:2" x14ac:dyDescent="0.3">
      <c r="A2379" t="str">
        <f>"7715"</f>
        <v>7715</v>
      </c>
      <c r="B2379" t="s">
        <v>11</v>
      </c>
    </row>
    <row r="2380" spans="1:2" x14ac:dyDescent="0.3">
      <c r="A2380" t="str">
        <f>"77154"</f>
        <v>77154</v>
      </c>
      <c r="B2380" t="s">
        <v>188</v>
      </c>
    </row>
    <row r="2381" spans="1:2" x14ac:dyDescent="0.3">
      <c r="A2381" t="str">
        <f>"773000"</f>
        <v>773000</v>
      </c>
      <c r="B2381" t="s">
        <v>635</v>
      </c>
    </row>
    <row r="2382" spans="1:2" x14ac:dyDescent="0.3">
      <c r="A2382" t="str">
        <f>"773520"</f>
        <v>773520</v>
      </c>
      <c r="B2382" t="s">
        <v>336</v>
      </c>
    </row>
    <row r="2383" spans="1:2" x14ac:dyDescent="0.3">
      <c r="A2383" t="str">
        <f>"774-115-14"</f>
        <v>774-115-14</v>
      </c>
      <c r="B2383" t="s">
        <v>3743</v>
      </c>
    </row>
    <row r="2384" spans="1:2" x14ac:dyDescent="0.3">
      <c r="A2384" t="str">
        <f>"774-115-91"</f>
        <v>774-115-91</v>
      </c>
      <c r="B2384" t="s">
        <v>264</v>
      </c>
    </row>
    <row r="2385" spans="1:2" x14ac:dyDescent="0.3">
      <c r="A2385" t="str">
        <f>"774-116-05"</f>
        <v>774-116-05</v>
      </c>
      <c r="B2385" t="s">
        <v>3116</v>
      </c>
    </row>
    <row r="2386" spans="1:2" x14ac:dyDescent="0.3">
      <c r="A2386" t="str">
        <f>"7750041-113"</f>
        <v>7750041-113</v>
      </c>
      <c r="B2386" t="s">
        <v>188</v>
      </c>
    </row>
    <row r="2387" spans="1:2" x14ac:dyDescent="0.3">
      <c r="A2387" t="str">
        <f>"775016-1"</f>
        <v>775016-1</v>
      </c>
      <c r="B2387" t="s">
        <v>153</v>
      </c>
    </row>
    <row r="2388" spans="1:2" x14ac:dyDescent="0.3">
      <c r="A2388" t="str">
        <f>"775028-1"</f>
        <v>775028-1</v>
      </c>
      <c r="B2388" t="s">
        <v>153</v>
      </c>
    </row>
    <row r="2389" spans="1:2" x14ac:dyDescent="0.3">
      <c r="A2389" t="str">
        <f>"77504"</f>
        <v>77504</v>
      </c>
      <c r="B2389" t="s">
        <v>336</v>
      </c>
    </row>
    <row r="2390" spans="1:2" x14ac:dyDescent="0.3">
      <c r="A2390" t="str">
        <f>"77-54"</f>
        <v>77-54</v>
      </c>
    </row>
    <row r="2391" spans="1:2" x14ac:dyDescent="0.3">
      <c r="A2391" t="str">
        <f>"77569"</f>
        <v>77569</v>
      </c>
      <c r="B2391" t="s">
        <v>1826</v>
      </c>
    </row>
    <row r="2392" spans="1:2" x14ac:dyDescent="0.3">
      <c r="A2392" t="str">
        <f>"77611"</f>
        <v>77611</v>
      </c>
      <c r="B2392" t="s">
        <v>336</v>
      </c>
    </row>
    <row r="2393" spans="1:2" x14ac:dyDescent="0.3">
      <c r="A2393" t="str">
        <f>"777-1492-005"</f>
        <v>777-1492-005</v>
      </c>
    </row>
    <row r="2394" spans="1:2" x14ac:dyDescent="0.3">
      <c r="A2394" t="str">
        <f>"777-223"</f>
        <v>777-223</v>
      </c>
      <c r="B2394" t="s">
        <v>861</v>
      </c>
    </row>
    <row r="2395" spans="1:2" x14ac:dyDescent="0.3">
      <c r="A2395" t="str">
        <f>"778000"</f>
        <v>778000</v>
      </c>
      <c r="B2395" t="s">
        <v>1327</v>
      </c>
    </row>
    <row r="2396" spans="1:2" x14ac:dyDescent="0.3">
      <c r="A2396" t="str">
        <f>"779-201-32"</f>
        <v>779-201-32</v>
      </c>
      <c r="B2396" t="s">
        <v>139</v>
      </c>
    </row>
    <row r="2397" spans="1:2" x14ac:dyDescent="0.3">
      <c r="A2397" t="str">
        <f>"779-201-33"</f>
        <v>779-201-33</v>
      </c>
      <c r="B2397" t="s">
        <v>139</v>
      </c>
    </row>
    <row r="2398" spans="1:2" x14ac:dyDescent="0.3">
      <c r="A2398" t="str">
        <f>"779-202-38"</f>
        <v>779-202-38</v>
      </c>
      <c r="B2398" t="s">
        <v>139</v>
      </c>
    </row>
    <row r="2399" spans="1:2" x14ac:dyDescent="0.3">
      <c r="A2399" t="str">
        <f>"779-435-52"</f>
        <v>779-435-52</v>
      </c>
      <c r="B2399" t="s">
        <v>264</v>
      </c>
    </row>
    <row r="2400" spans="1:2" x14ac:dyDescent="0.3">
      <c r="A2400" t="str">
        <f>"779-435-73"</f>
        <v>779-435-73</v>
      </c>
      <c r="B2400" t="s">
        <v>264</v>
      </c>
    </row>
    <row r="2401" spans="1:2" x14ac:dyDescent="0.3">
      <c r="A2401" t="str">
        <f>"7800044-023"</f>
        <v>7800044-023</v>
      </c>
      <c r="B2401" t="s">
        <v>188</v>
      </c>
    </row>
    <row r="2402" spans="1:2" x14ac:dyDescent="0.3">
      <c r="A2402" t="str">
        <f>"7800044-024"</f>
        <v>7800044-024</v>
      </c>
      <c r="B2402" t="s">
        <v>188</v>
      </c>
    </row>
    <row r="2403" spans="1:2" x14ac:dyDescent="0.3">
      <c r="A2403" t="str">
        <f>"7800044-025"</f>
        <v>7800044-025</v>
      </c>
      <c r="B2403" t="s">
        <v>4023</v>
      </c>
    </row>
    <row r="2404" spans="1:2" x14ac:dyDescent="0.3">
      <c r="A2404" t="str">
        <f>"78-381"</f>
        <v>78-381</v>
      </c>
      <c r="B2404" t="s">
        <v>568</v>
      </c>
    </row>
    <row r="2405" spans="1:2" x14ac:dyDescent="0.3">
      <c r="A2405" t="str">
        <f>"78-382"</f>
        <v>78-382</v>
      </c>
      <c r="B2405" t="s">
        <v>568</v>
      </c>
    </row>
    <row r="2406" spans="1:2" x14ac:dyDescent="0.3">
      <c r="A2406" t="str">
        <f>"7839"</f>
        <v>7839</v>
      </c>
      <c r="B2406" t="s">
        <v>11</v>
      </c>
    </row>
    <row r="2407" spans="1:2" x14ac:dyDescent="0.3">
      <c r="A2407" t="str">
        <f>"78914"</f>
        <v>78914</v>
      </c>
    </row>
    <row r="2408" spans="1:2" x14ac:dyDescent="0.3">
      <c r="A2408" t="s">
        <v>542</v>
      </c>
      <c r="B2408" t="s">
        <v>13</v>
      </c>
    </row>
    <row r="2409" spans="1:2" x14ac:dyDescent="0.3">
      <c r="A2409" t="s">
        <v>541</v>
      </c>
      <c r="B2409" t="s">
        <v>13</v>
      </c>
    </row>
    <row r="2410" spans="1:2" x14ac:dyDescent="0.3">
      <c r="A2410" t="str">
        <f>"791355"</f>
        <v>791355</v>
      </c>
      <c r="B2410" t="s">
        <v>4136</v>
      </c>
    </row>
    <row r="2411" spans="1:2" x14ac:dyDescent="0.3">
      <c r="A2411" t="str">
        <f>"79210997"</f>
        <v>79210997</v>
      </c>
      <c r="B2411" t="s">
        <v>3015</v>
      </c>
    </row>
    <row r="2412" spans="1:2" x14ac:dyDescent="0.3">
      <c r="A2412" t="str">
        <f>"79210998"</f>
        <v>79210998</v>
      </c>
      <c r="B2412" t="s">
        <v>3015</v>
      </c>
    </row>
    <row r="2413" spans="1:2" x14ac:dyDescent="0.3">
      <c r="A2413" t="str">
        <f>"79215938"</f>
        <v>79215938</v>
      </c>
      <c r="B2413" t="s">
        <v>13</v>
      </c>
    </row>
    <row r="2414" spans="1:2" x14ac:dyDescent="0.3">
      <c r="A2414" t="str">
        <f>"79255164"</f>
        <v>79255164</v>
      </c>
      <c r="B2414" t="s">
        <v>519</v>
      </c>
    </row>
    <row r="2415" spans="1:2" x14ac:dyDescent="0.3">
      <c r="A2415" t="str">
        <f>"798A"</f>
        <v>798A</v>
      </c>
      <c r="B2415" t="s">
        <v>492</v>
      </c>
    </row>
    <row r="2416" spans="1:2" x14ac:dyDescent="0.3">
      <c r="A2416" t="str">
        <f>"7AS12"</f>
        <v>7AS12</v>
      </c>
      <c r="B2416" t="s">
        <v>2101</v>
      </c>
    </row>
    <row r="2417" spans="1:2" x14ac:dyDescent="0.3">
      <c r="A2417" t="str">
        <f>"7S237243"</f>
        <v>7S237243</v>
      </c>
      <c r="B2417" t="s">
        <v>159</v>
      </c>
    </row>
    <row r="2418" spans="1:2" x14ac:dyDescent="0.3">
      <c r="A2418" t="str">
        <f>"80028-10"</f>
        <v>80028-10</v>
      </c>
      <c r="B2418" t="s">
        <v>184</v>
      </c>
    </row>
    <row r="2419" spans="1:2" x14ac:dyDescent="0.3">
      <c r="A2419" t="str">
        <f>"800456-005"</f>
        <v>800456-005</v>
      </c>
      <c r="B2419" t="s">
        <v>211</v>
      </c>
    </row>
    <row r="2420" spans="1:2" x14ac:dyDescent="0.3">
      <c r="A2420" t="str">
        <f>"800555"</f>
        <v>800555</v>
      </c>
      <c r="B2420" t="s">
        <v>136</v>
      </c>
    </row>
    <row r="2421" spans="1:2" x14ac:dyDescent="0.3">
      <c r="A2421" t="str">
        <f>"800CT20"</f>
        <v>800CT20</v>
      </c>
      <c r="B2421" t="s">
        <v>4361</v>
      </c>
    </row>
    <row r="2422" spans="1:2" x14ac:dyDescent="0.3">
      <c r="A2422" t="str">
        <f>"801307-06"</f>
        <v>801307-06</v>
      </c>
      <c r="B2422" t="s">
        <v>1545</v>
      </c>
    </row>
    <row r="2423" spans="1:2" x14ac:dyDescent="0.3">
      <c r="A2423" t="str">
        <f>"80132-12"</f>
        <v>80132-12</v>
      </c>
      <c r="B2423" t="s">
        <v>1572</v>
      </c>
    </row>
    <row r="2424" spans="1:2" x14ac:dyDescent="0.3">
      <c r="A2424" t="str">
        <f>"801581-00"</f>
        <v>801581-00</v>
      </c>
      <c r="B2424" t="s">
        <v>4142</v>
      </c>
    </row>
    <row r="2425" spans="1:2" x14ac:dyDescent="0.3">
      <c r="A2425" t="str">
        <f>"801A50-0005A"</f>
        <v>801A50-0005A</v>
      </c>
      <c r="B2425" t="s">
        <v>132</v>
      </c>
    </row>
    <row r="2426" spans="1:2" x14ac:dyDescent="0.3">
      <c r="A2426" t="str">
        <f>"801A50-0006A"</f>
        <v>801A50-0006A</v>
      </c>
      <c r="B2426" t="s">
        <v>132</v>
      </c>
    </row>
    <row r="2427" spans="1:2" x14ac:dyDescent="0.3">
      <c r="A2427" t="str">
        <f>"802300-14"</f>
        <v>802300-14</v>
      </c>
      <c r="B2427" t="s">
        <v>3025</v>
      </c>
    </row>
    <row r="2428" spans="1:2" x14ac:dyDescent="0.3">
      <c r="A2428" t="str">
        <f>"8023812"</f>
        <v>8023812</v>
      </c>
      <c r="B2428" t="s">
        <v>188</v>
      </c>
    </row>
    <row r="2429" spans="1:2" x14ac:dyDescent="0.3">
      <c r="A2429" t="str">
        <f>"802503"</f>
        <v>802503</v>
      </c>
      <c r="B2429" t="s">
        <v>3849</v>
      </c>
    </row>
    <row r="2430" spans="1:2" x14ac:dyDescent="0.3">
      <c r="A2430" t="str">
        <f>"802883-01"</f>
        <v>802883-01</v>
      </c>
      <c r="B2430" t="s">
        <v>3953</v>
      </c>
    </row>
    <row r="2431" spans="1:2" x14ac:dyDescent="0.3">
      <c r="A2431" t="str">
        <f>"8030-B-864"</f>
        <v>8030-B-864</v>
      </c>
      <c r="B2431" t="s">
        <v>967</v>
      </c>
    </row>
    <row r="2432" spans="1:2" x14ac:dyDescent="0.3">
      <c r="A2432" t="str">
        <f>"803129-01"</f>
        <v>803129-01</v>
      </c>
      <c r="B2432" t="s">
        <v>1558</v>
      </c>
    </row>
    <row r="2433" spans="1:2" x14ac:dyDescent="0.3">
      <c r="A2433" t="str">
        <f>"80334-10"</f>
        <v>80334-10</v>
      </c>
      <c r="B2433" t="s">
        <v>3064</v>
      </c>
    </row>
    <row r="2434" spans="1:2" x14ac:dyDescent="0.3">
      <c r="A2434" t="str">
        <f>"80352-10"</f>
        <v>80352-10</v>
      </c>
      <c r="B2434" t="s">
        <v>136</v>
      </c>
    </row>
    <row r="2435" spans="1:2" x14ac:dyDescent="0.3">
      <c r="A2435" t="str">
        <f>"80456-10"</f>
        <v>80456-10</v>
      </c>
      <c r="B2435" t="s">
        <v>4477</v>
      </c>
    </row>
    <row r="2436" spans="1:2" x14ac:dyDescent="0.3">
      <c r="A2436" t="str">
        <f>"80459-10"</f>
        <v>80459-10</v>
      </c>
      <c r="B2436" t="s">
        <v>136</v>
      </c>
    </row>
    <row r="2437" spans="1:2" x14ac:dyDescent="0.3">
      <c r="A2437" t="str">
        <f>"8050809-0002"</f>
        <v>8050809-0002</v>
      </c>
      <c r="B2437" t="s">
        <v>489</v>
      </c>
    </row>
    <row r="2438" spans="1:2" x14ac:dyDescent="0.3">
      <c r="A2438" t="str">
        <f>"8050809-0005"</f>
        <v>8050809-0005</v>
      </c>
      <c r="B2438" t="s">
        <v>489</v>
      </c>
    </row>
    <row r="2439" spans="1:2" x14ac:dyDescent="0.3">
      <c r="A2439" t="str">
        <f>"8050909-0008"</f>
        <v>8050909-0008</v>
      </c>
      <c r="B2439" t="s">
        <v>489</v>
      </c>
    </row>
    <row r="2440" spans="1:2" x14ac:dyDescent="0.3">
      <c r="A2440" t="str">
        <f>"8050917-0006"</f>
        <v>8050917-0006</v>
      </c>
      <c r="B2440" t="s">
        <v>4815</v>
      </c>
    </row>
    <row r="2441" spans="1:2" x14ac:dyDescent="0.3">
      <c r="A2441" t="str">
        <f>"80509904"</f>
        <v>80509904</v>
      </c>
      <c r="B2441" t="s">
        <v>1111</v>
      </c>
    </row>
    <row r="2442" spans="1:2" x14ac:dyDescent="0.3">
      <c r="A2442" t="str">
        <f>"8-060-02"</f>
        <v>8-060-02</v>
      </c>
      <c r="B2442" t="s">
        <v>2523</v>
      </c>
    </row>
    <row r="2443" spans="1:2" x14ac:dyDescent="0.3">
      <c r="A2443" t="str">
        <f>"806012-01"</f>
        <v>806012-01</v>
      </c>
      <c r="B2443" t="s">
        <v>1605</v>
      </c>
    </row>
    <row r="2444" spans="1:2" x14ac:dyDescent="0.3">
      <c r="A2444" t="str">
        <f>"80631"</f>
        <v>80631</v>
      </c>
      <c r="B2444" t="s">
        <v>596</v>
      </c>
    </row>
    <row r="2445" spans="1:2" x14ac:dyDescent="0.3">
      <c r="A2445" t="str">
        <f>"80691CF1216"</f>
        <v>80691CF1216</v>
      </c>
      <c r="B2445" t="s">
        <v>1329</v>
      </c>
    </row>
    <row r="2446" spans="1:2" x14ac:dyDescent="0.3">
      <c r="A2446" t="str">
        <f>"80-778"</f>
        <v>80-778</v>
      </c>
      <c r="B2446" t="s">
        <v>353</v>
      </c>
    </row>
    <row r="2447" spans="1:2" x14ac:dyDescent="0.3">
      <c r="A2447" t="str">
        <f>"808048-4"</f>
        <v>808048-4</v>
      </c>
      <c r="B2447" t="s">
        <v>132</v>
      </c>
    </row>
    <row r="2448" spans="1:2" x14ac:dyDescent="0.3">
      <c r="A2448" t="str">
        <f>"80928-11"</f>
        <v>80928-11</v>
      </c>
      <c r="B2448" t="s">
        <v>1325</v>
      </c>
    </row>
    <row r="2449" spans="1:2" x14ac:dyDescent="0.3">
      <c r="A2449" t="str">
        <f>"81000-17501ATS"</f>
        <v>81000-17501ATS</v>
      </c>
      <c r="B2449" t="s">
        <v>1563</v>
      </c>
    </row>
    <row r="2450" spans="1:2" x14ac:dyDescent="0.3">
      <c r="A2450" t="str">
        <f>"81001-37602"</f>
        <v>81001-37602</v>
      </c>
      <c r="B2450" t="s">
        <v>2955</v>
      </c>
    </row>
    <row r="2451" spans="1:2" x14ac:dyDescent="0.3">
      <c r="A2451" t="str">
        <f>"81003-37702"</f>
        <v>81003-37702</v>
      </c>
      <c r="B2451" t="s">
        <v>3556</v>
      </c>
    </row>
    <row r="2452" spans="1:2" x14ac:dyDescent="0.3">
      <c r="A2452" t="str">
        <f>"81004-37702"</f>
        <v>81004-37702</v>
      </c>
      <c r="B2452" t="s">
        <v>4623</v>
      </c>
    </row>
    <row r="2453" spans="1:2" x14ac:dyDescent="0.3">
      <c r="A2453" t="str">
        <f>"8101-21-5500-09"</f>
        <v>8101-21-5500-09</v>
      </c>
      <c r="B2453" t="s">
        <v>470</v>
      </c>
    </row>
    <row r="2454" spans="1:2" x14ac:dyDescent="0.3">
      <c r="A2454" t="str">
        <f>"810-2007/K"</f>
        <v>810-2007/K</v>
      </c>
      <c r="B2454" t="s">
        <v>4110</v>
      </c>
    </row>
    <row r="2455" spans="1:2" x14ac:dyDescent="0.3">
      <c r="A2455" t="str">
        <f>"81101-37701"</f>
        <v>81101-37701</v>
      </c>
      <c r="B2455" t="s">
        <v>504</v>
      </c>
    </row>
    <row r="2456" spans="1:2" x14ac:dyDescent="0.3">
      <c r="A2456" t="str">
        <f>"81104-37601"</f>
        <v>81104-37601</v>
      </c>
      <c r="B2456" t="s">
        <v>336</v>
      </c>
    </row>
    <row r="2457" spans="1:2" x14ac:dyDescent="0.3">
      <c r="A2457" t="str">
        <f>"81105-37603"</f>
        <v>81105-37603</v>
      </c>
      <c r="B2457" t="s">
        <v>2899</v>
      </c>
    </row>
    <row r="2458" spans="1:2" x14ac:dyDescent="0.3">
      <c r="A2458" t="str">
        <f>"81110-37601"</f>
        <v>81110-37601</v>
      </c>
      <c r="B2458" t="s">
        <v>1523</v>
      </c>
    </row>
    <row r="2459" spans="1:2" x14ac:dyDescent="0.3">
      <c r="A2459" t="str">
        <f>"81111-37601"</f>
        <v>81111-37601</v>
      </c>
      <c r="B2459" t="s">
        <v>1524</v>
      </c>
    </row>
    <row r="2460" spans="1:2" x14ac:dyDescent="0.3">
      <c r="A2460" t="str">
        <f>"81115-37601"</f>
        <v>81115-37601</v>
      </c>
      <c r="B2460" t="s">
        <v>1880</v>
      </c>
    </row>
    <row r="2461" spans="1:2" x14ac:dyDescent="0.3">
      <c r="A2461" t="str">
        <f>"81384-110"</f>
        <v>81384-110</v>
      </c>
      <c r="B2461" t="s">
        <v>1325</v>
      </c>
    </row>
    <row r="2462" spans="1:2" x14ac:dyDescent="0.3">
      <c r="A2462" t="str">
        <f>"81393"</f>
        <v>81393</v>
      </c>
      <c r="B2462" t="s">
        <v>1257</v>
      </c>
    </row>
    <row r="2463" spans="1:2" x14ac:dyDescent="0.3">
      <c r="A2463" t="str">
        <f>"81512-10"</f>
        <v>81512-10</v>
      </c>
      <c r="B2463" t="s">
        <v>4140</v>
      </c>
    </row>
    <row r="2464" spans="1:2" x14ac:dyDescent="0.3">
      <c r="A2464" t="str">
        <f>"815UN01F4AG6AC"</f>
        <v>815UN01F4AG6AC</v>
      </c>
      <c r="B2464" t="s">
        <v>13</v>
      </c>
    </row>
    <row r="2465" spans="1:2" x14ac:dyDescent="0.3">
      <c r="A2465" t="str">
        <f>"8170-44-1"</f>
        <v>8170-44-1</v>
      </c>
      <c r="B2465" t="s">
        <v>504</v>
      </c>
    </row>
    <row r="2466" spans="1:2" x14ac:dyDescent="0.3">
      <c r="A2466" t="str">
        <f>"8178-33"</f>
        <v>8178-33</v>
      </c>
      <c r="B2466" t="s">
        <v>1528</v>
      </c>
    </row>
    <row r="2467" spans="1:2" x14ac:dyDescent="0.3">
      <c r="A2467" t="str">
        <f>"81784-12-32"</f>
        <v>81784-12-32</v>
      </c>
      <c r="B2467" t="s">
        <v>1328</v>
      </c>
    </row>
    <row r="2468" spans="1:2" x14ac:dyDescent="0.3">
      <c r="A2468" t="str">
        <f>"8191-4CN-0375"</f>
        <v>8191-4CN-0375</v>
      </c>
      <c r="B2468" t="s">
        <v>3709</v>
      </c>
    </row>
    <row r="2469" spans="1:2" x14ac:dyDescent="0.3">
      <c r="A2469" t="str">
        <f>"82029-11"</f>
        <v>82029-11</v>
      </c>
      <c r="B2469" t="s">
        <v>1319</v>
      </c>
    </row>
    <row r="2470" spans="1:2" x14ac:dyDescent="0.3">
      <c r="A2470" t="str">
        <f>"8203-01-1100"</f>
        <v>8203-01-1100</v>
      </c>
      <c r="B2470" t="s">
        <v>2106</v>
      </c>
    </row>
    <row r="2471" spans="1:2" x14ac:dyDescent="0.3">
      <c r="A2471" t="str">
        <f>"822-1044-004"</f>
        <v>822-1044-004</v>
      </c>
      <c r="B2471" t="s">
        <v>1905</v>
      </c>
    </row>
    <row r="2472" spans="1:2" x14ac:dyDescent="0.3">
      <c r="A2472" t="str">
        <f>"822-213-302"</f>
        <v>822-213-302</v>
      </c>
      <c r="B2472" t="s">
        <v>139</v>
      </c>
    </row>
    <row r="2473" spans="1:2" x14ac:dyDescent="0.3">
      <c r="A2473" t="str">
        <f>"822-728-352"</f>
        <v>822-728-352</v>
      </c>
      <c r="B2473" t="s">
        <v>3008</v>
      </c>
    </row>
    <row r="2474" spans="1:2" x14ac:dyDescent="0.3">
      <c r="A2474" t="str">
        <f>"822-736-350"</f>
        <v>822-736-350</v>
      </c>
      <c r="B2474" t="s">
        <v>2888</v>
      </c>
    </row>
    <row r="2475" spans="1:2" x14ac:dyDescent="0.3">
      <c r="A2475" t="str">
        <f>"827-2583-002"</f>
        <v>827-2583-002</v>
      </c>
      <c r="B2475" t="s">
        <v>2777</v>
      </c>
    </row>
    <row r="2476" spans="1:2" x14ac:dyDescent="0.3">
      <c r="A2476" t="str">
        <f>"828108-1"</f>
        <v>828108-1</v>
      </c>
      <c r="B2476" t="s">
        <v>2231</v>
      </c>
    </row>
    <row r="2477" spans="1:2" x14ac:dyDescent="0.3">
      <c r="A2477" t="str">
        <f>"8291001-1"</f>
        <v>8291001-1</v>
      </c>
      <c r="B2477" t="s">
        <v>897</v>
      </c>
    </row>
    <row r="2478" spans="1:2" x14ac:dyDescent="0.3">
      <c r="A2478" t="str">
        <f>"83 ASTARA"</f>
        <v>83 ASTARA</v>
      </c>
      <c r="B2478" t="s">
        <v>111</v>
      </c>
    </row>
    <row r="2479" spans="1:2" x14ac:dyDescent="0.3">
      <c r="A2479" t="s">
        <v>2530</v>
      </c>
      <c r="B2479" t="s">
        <v>13</v>
      </c>
    </row>
    <row r="2480" spans="1:2" x14ac:dyDescent="0.3">
      <c r="A2480" t="s">
        <v>114</v>
      </c>
      <c r="B2480" t="s">
        <v>13</v>
      </c>
    </row>
    <row r="2481" spans="1:2" x14ac:dyDescent="0.3">
      <c r="A2481" t="s">
        <v>12</v>
      </c>
      <c r="B2481" t="s">
        <v>13</v>
      </c>
    </row>
    <row r="2482" spans="1:2" x14ac:dyDescent="0.3">
      <c r="A2482" t="s">
        <v>325</v>
      </c>
    </row>
    <row r="2483" spans="1:2" x14ac:dyDescent="0.3">
      <c r="A2483" t="s">
        <v>2714</v>
      </c>
      <c r="B2483" t="s">
        <v>13</v>
      </c>
    </row>
    <row r="2484" spans="1:2" x14ac:dyDescent="0.3">
      <c r="A2484" t="s">
        <v>14</v>
      </c>
      <c r="B2484" t="s">
        <v>13</v>
      </c>
    </row>
    <row r="2485" spans="1:2" x14ac:dyDescent="0.3">
      <c r="A2485" t="s">
        <v>96</v>
      </c>
    </row>
    <row r="2486" spans="1:2" x14ac:dyDescent="0.3">
      <c r="A2486" t="s">
        <v>3747</v>
      </c>
      <c r="B2486" t="s">
        <v>13</v>
      </c>
    </row>
    <row r="2487" spans="1:2" x14ac:dyDescent="0.3">
      <c r="A2487" t="s">
        <v>326</v>
      </c>
    </row>
    <row r="2488" spans="1:2" x14ac:dyDescent="0.3">
      <c r="A2488" t="s">
        <v>95</v>
      </c>
    </row>
    <row r="2489" spans="1:2" x14ac:dyDescent="0.3">
      <c r="A2489" t="s">
        <v>543</v>
      </c>
      <c r="B2489" t="s">
        <v>13</v>
      </c>
    </row>
    <row r="2490" spans="1:2" x14ac:dyDescent="0.3">
      <c r="A2490" t="s">
        <v>3278</v>
      </c>
      <c r="B2490" t="s">
        <v>13</v>
      </c>
    </row>
    <row r="2491" spans="1:2" x14ac:dyDescent="0.3">
      <c r="A2491" t="str">
        <f>"83031-05601"</f>
        <v>83031-05601</v>
      </c>
      <c r="B2491" t="s">
        <v>2523</v>
      </c>
    </row>
    <row r="2492" spans="1:2" x14ac:dyDescent="0.3">
      <c r="A2492" t="str">
        <f>"83032-05601"</f>
        <v>83032-05601</v>
      </c>
      <c r="B2492" t="s">
        <v>1745</v>
      </c>
    </row>
    <row r="2493" spans="1:2" x14ac:dyDescent="0.3">
      <c r="A2493" t="str">
        <f>"83035-05602"</f>
        <v>83035-05602</v>
      </c>
      <c r="B2493" t="s">
        <v>2251</v>
      </c>
    </row>
    <row r="2494" spans="1:2" x14ac:dyDescent="0.3">
      <c r="A2494" t="str">
        <f>"830941-403"</f>
        <v>830941-403</v>
      </c>
      <c r="B2494" t="s">
        <v>3320</v>
      </c>
    </row>
    <row r="2495" spans="1:2" x14ac:dyDescent="0.3">
      <c r="A2495" t="str">
        <f>"830941-407"</f>
        <v>830941-407</v>
      </c>
      <c r="B2495" t="s">
        <v>3321</v>
      </c>
    </row>
    <row r="2496" spans="1:2" x14ac:dyDescent="0.3">
      <c r="A2496" t="str">
        <f>"83115-05601"</f>
        <v>83115-05601</v>
      </c>
      <c r="B2496" t="s">
        <v>504</v>
      </c>
    </row>
    <row r="2497" spans="1:2" x14ac:dyDescent="0.3">
      <c r="A2497" t="str">
        <f>"83123018"</f>
        <v>83123018</v>
      </c>
      <c r="B2497" t="s">
        <v>2206</v>
      </c>
    </row>
    <row r="2498" spans="1:2" x14ac:dyDescent="0.3">
      <c r="A2498" t="str">
        <f>"8313"</f>
        <v>8313</v>
      </c>
      <c r="B2498" t="s">
        <v>188</v>
      </c>
    </row>
    <row r="2499" spans="1:2" x14ac:dyDescent="0.3">
      <c r="A2499" t="str">
        <f>"831-3053-001"</f>
        <v>831-3053-001</v>
      </c>
      <c r="B2499" t="s">
        <v>494</v>
      </c>
    </row>
    <row r="2500" spans="1:2" x14ac:dyDescent="0.3">
      <c r="A2500" t="str">
        <f>"83155-05601"</f>
        <v>83155-05601</v>
      </c>
      <c r="B2500" t="s">
        <v>1492</v>
      </c>
    </row>
    <row r="2501" spans="1:2" x14ac:dyDescent="0.3">
      <c r="A2501" t="str">
        <f>"833496-17"</f>
        <v>833496-17</v>
      </c>
      <c r="B2501" t="s">
        <v>4421</v>
      </c>
    </row>
    <row r="2502" spans="1:2" x14ac:dyDescent="0.3">
      <c r="A2502" t="str">
        <f>"83452501"</f>
        <v>83452501</v>
      </c>
      <c r="B2502" t="s">
        <v>13</v>
      </c>
    </row>
    <row r="2503" spans="1:2" x14ac:dyDescent="0.3">
      <c r="A2503" t="str">
        <f>"83453006"</f>
        <v>83453006</v>
      </c>
      <c r="B2503" t="s">
        <v>13</v>
      </c>
    </row>
    <row r="2504" spans="1:2" x14ac:dyDescent="0.3">
      <c r="A2504" t="str">
        <f>"83589031"</f>
        <v>83589031</v>
      </c>
    </row>
    <row r="2505" spans="1:2" x14ac:dyDescent="0.3">
      <c r="A2505" t="str">
        <f>"83770021"</f>
        <v>83770021</v>
      </c>
      <c r="B2505" t="s">
        <v>2206</v>
      </c>
    </row>
    <row r="2506" spans="1:2" x14ac:dyDescent="0.3">
      <c r="A2506" t="str">
        <f>"83770025"</f>
        <v>83770025</v>
      </c>
    </row>
    <row r="2507" spans="1:2" x14ac:dyDescent="0.3">
      <c r="A2507" t="str">
        <f>"83770034"</f>
        <v>83770034</v>
      </c>
      <c r="B2507" t="s">
        <v>13</v>
      </c>
    </row>
    <row r="2508" spans="1:2" x14ac:dyDescent="0.3">
      <c r="A2508" t="str">
        <f>"83770062"</f>
        <v>83770062</v>
      </c>
      <c r="B2508" t="s">
        <v>13</v>
      </c>
    </row>
    <row r="2509" spans="1:2" x14ac:dyDescent="0.3">
      <c r="A2509" t="str">
        <f>"83770087"</f>
        <v>83770087</v>
      </c>
      <c r="B2509" t="s">
        <v>13</v>
      </c>
    </row>
    <row r="2510" spans="1:2" x14ac:dyDescent="0.3">
      <c r="A2510" t="str">
        <f>"837-9001-060"</f>
        <v>837-9001-060</v>
      </c>
      <c r="B2510" t="s">
        <v>264</v>
      </c>
    </row>
    <row r="2511" spans="1:2" x14ac:dyDescent="0.3">
      <c r="A2511" t="str">
        <f>"83803001"</f>
        <v>83803001</v>
      </c>
      <c r="B2511" t="s">
        <v>3014</v>
      </c>
    </row>
    <row r="2512" spans="1:2" x14ac:dyDescent="0.3">
      <c r="A2512" t="str">
        <f>"83861303"</f>
        <v>83861303</v>
      </c>
    </row>
    <row r="2513" spans="1:2" x14ac:dyDescent="0.3">
      <c r="A2513" t="str">
        <f>"83873102"</f>
        <v>83873102</v>
      </c>
      <c r="B2513" t="s">
        <v>2206</v>
      </c>
    </row>
    <row r="2514" spans="1:2" x14ac:dyDescent="0.3">
      <c r="A2514" t="str">
        <f>"83990129"</f>
        <v>83990129</v>
      </c>
      <c r="B2514" t="s">
        <v>13</v>
      </c>
    </row>
    <row r="2515" spans="1:2" x14ac:dyDescent="0.3">
      <c r="A2515" t="str">
        <f>"83990134"</f>
        <v>83990134</v>
      </c>
      <c r="B2515" t="s">
        <v>13</v>
      </c>
    </row>
    <row r="2516" spans="1:2" x14ac:dyDescent="0.3">
      <c r="A2516" t="str">
        <f>"83ASTARA"</f>
        <v>83ASTARA</v>
      </c>
      <c r="B2516" t="s">
        <v>111</v>
      </c>
    </row>
    <row r="2517" spans="1:2" x14ac:dyDescent="0.3">
      <c r="A2517" t="str">
        <f>"840-2022-010"</f>
        <v>840-2022-010</v>
      </c>
      <c r="B2517" t="s">
        <v>4</v>
      </c>
    </row>
    <row r="2518" spans="1:2" x14ac:dyDescent="0.3">
      <c r="A2518" t="str">
        <f>"841-7019-010"</f>
        <v>841-7019-010</v>
      </c>
      <c r="B2518" t="s">
        <v>470</v>
      </c>
    </row>
    <row r="2519" spans="1:2" x14ac:dyDescent="0.3">
      <c r="A2519" t="str">
        <f>"84307205-5A"</f>
        <v>84307205-5A</v>
      </c>
      <c r="B2519" t="s">
        <v>36</v>
      </c>
    </row>
    <row r="2520" spans="1:2" x14ac:dyDescent="0.3">
      <c r="A2520" t="str">
        <f>"843-1011-050"</f>
        <v>843-1011-050</v>
      </c>
      <c r="B2520" t="s">
        <v>139</v>
      </c>
    </row>
    <row r="2521" spans="1:2" x14ac:dyDescent="0.3">
      <c r="A2521" t="str">
        <f>"84313015"</f>
        <v>84313015</v>
      </c>
      <c r="B2521" t="s">
        <v>1997</v>
      </c>
    </row>
    <row r="2522" spans="1:2" x14ac:dyDescent="0.3">
      <c r="A2522" t="str">
        <f>"84313020"</f>
        <v>84313020</v>
      </c>
      <c r="B2522" t="s">
        <v>1997</v>
      </c>
    </row>
    <row r="2523" spans="1:2" x14ac:dyDescent="0.3">
      <c r="A2523" t="str">
        <f>"84313025"</f>
        <v>84313025</v>
      </c>
      <c r="B2523" t="s">
        <v>1997</v>
      </c>
    </row>
    <row r="2524" spans="1:2" x14ac:dyDescent="0.3">
      <c r="A2524" t="str">
        <f>"84313035"</f>
        <v>84313035</v>
      </c>
      <c r="B2524" t="s">
        <v>1997</v>
      </c>
    </row>
    <row r="2525" spans="1:2" x14ac:dyDescent="0.3">
      <c r="A2525" t="str">
        <f>"84313041"</f>
        <v>84313041</v>
      </c>
      <c r="B2525" t="s">
        <v>1997</v>
      </c>
    </row>
    <row r="2526" spans="1:2" x14ac:dyDescent="0.3">
      <c r="A2526" t="str">
        <f>"84313050"</f>
        <v>84313050</v>
      </c>
      <c r="B2526" t="s">
        <v>1997</v>
      </c>
    </row>
    <row r="2527" spans="1:2" x14ac:dyDescent="0.3">
      <c r="A2527" t="str">
        <f>"84400005"</f>
        <v>84400005</v>
      </c>
      <c r="B2527" t="s">
        <v>13</v>
      </c>
    </row>
    <row r="2528" spans="1:2" x14ac:dyDescent="0.3">
      <c r="A2528" t="str">
        <f>"84400015"</f>
        <v>84400015</v>
      </c>
      <c r="B2528" t="s">
        <v>13</v>
      </c>
    </row>
    <row r="2529" spans="1:2" x14ac:dyDescent="0.3">
      <c r="A2529" t="str">
        <f>"84400025"</f>
        <v>84400025</v>
      </c>
      <c r="B2529" t="s">
        <v>13</v>
      </c>
    </row>
    <row r="2530" spans="1:2" x14ac:dyDescent="0.3">
      <c r="A2530" t="str">
        <f>"84400048"</f>
        <v>84400048</v>
      </c>
      <c r="B2530" t="s">
        <v>3902</v>
      </c>
    </row>
    <row r="2531" spans="1:2" x14ac:dyDescent="0.3">
      <c r="A2531" t="str">
        <f>"84402001"</f>
        <v>84402001</v>
      </c>
      <c r="B2531" t="s">
        <v>800</v>
      </c>
    </row>
    <row r="2532" spans="1:2" x14ac:dyDescent="0.3">
      <c r="A2532" t="str">
        <f>"84402002"</f>
        <v>84402002</v>
      </c>
      <c r="B2532" t="s">
        <v>2862</v>
      </c>
    </row>
    <row r="2533" spans="1:2" x14ac:dyDescent="0.3">
      <c r="A2533" t="str">
        <f>"84402003"</f>
        <v>84402003</v>
      </c>
      <c r="B2533" t="s">
        <v>805</v>
      </c>
    </row>
    <row r="2534" spans="1:2" x14ac:dyDescent="0.3">
      <c r="A2534" t="str">
        <f>"84402005"</f>
        <v>84402005</v>
      </c>
      <c r="B2534" t="s">
        <v>806</v>
      </c>
    </row>
    <row r="2535" spans="1:2" x14ac:dyDescent="0.3">
      <c r="A2535" t="str">
        <f>"84402010"</f>
        <v>84402010</v>
      </c>
      <c r="B2535" t="s">
        <v>801</v>
      </c>
    </row>
    <row r="2536" spans="1:2" x14ac:dyDescent="0.3">
      <c r="A2536" t="str">
        <f>"84402015"</f>
        <v>84402015</v>
      </c>
      <c r="B2536" t="s">
        <v>802</v>
      </c>
    </row>
    <row r="2537" spans="1:2" x14ac:dyDescent="0.3">
      <c r="A2537" t="str">
        <f>"84402020"</f>
        <v>84402020</v>
      </c>
      <c r="B2537" t="s">
        <v>803</v>
      </c>
    </row>
    <row r="2538" spans="1:2" x14ac:dyDescent="0.3">
      <c r="A2538" t="str">
        <f>"84402025"</f>
        <v>84402025</v>
      </c>
      <c r="B2538" t="s">
        <v>804</v>
      </c>
    </row>
    <row r="2539" spans="1:2" x14ac:dyDescent="0.3">
      <c r="A2539" t="str">
        <f>"84404004"</f>
        <v>84404004</v>
      </c>
      <c r="B2539" t="s">
        <v>36</v>
      </c>
    </row>
    <row r="2540" spans="1:2" x14ac:dyDescent="0.3">
      <c r="A2540" t="str">
        <f>"84412005"</f>
        <v>84412005</v>
      </c>
      <c r="B2540" t="s">
        <v>2612</v>
      </c>
    </row>
    <row r="2541" spans="1:2" x14ac:dyDescent="0.3">
      <c r="A2541" t="str">
        <f>"84412010"</f>
        <v>84412010</v>
      </c>
      <c r="B2541" t="s">
        <v>1997</v>
      </c>
    </row>
    <row r="2542" spans="1:2" x14ac:dyDescent="0.3">
      <c r="A2542" t="str">
        <f>"84412015"</f>
        <v>84412015</v>
      </c>
      <c r="B2542" t="s">
        <v>1997</v>
      </c>
    </row>
    <row r="2543" spans="1:2" x14ac:dyDescent="0.3">
      <c r="A2543" t="str">
        <f>"84443-12"</f>
        <v>84443-12</v>
      </c>
      <c r="B2543" t="s">
        <v>2013</v>
      </c>
    </row>
    <row r="2544" spans="1:2" x14ac:dyDescent="0.3">
      <c r="A2544" t="str">
        <f>"84443-13"</f>
        <v>84443-13</v>
      </c>
      <c r="B2544" t="s">
        <v>2013</v>
      </c>
    </row>
    <row r="2545" spans="1:2" x14ac:dyDescent="0.3">
      <c r="A2545" t="str">
        <f>"84445-10"</f>
        <v>84445-10</v>
      </c>
      <c r="B2545" t="s">
        <v>1319</v>
      </c>
    </row>
    <row r="2546" spans="1:2" x14ac:dyDescent="0.3">
      <c r="A2546" t="str">
        <f>"845UN01A1AA1A"</f>
        <v>845UN01A1AA1A</v>
      </c>
      <c r="B2546" t="s">
        <v>13</v>
      </c>
    </row>
    <row r="2547" spans="1:2" x14ac:dyDescent="0.3">
      <c r="A2547" t="str">
        <f>"847152"</f>
        <v>847152</v>
      </c>
      <c r="B2547" t="s">
        <v>1345</v>
      </c>
    </row>
    <row r="2548" spans="1:2" x14ac:dyDescent="0.3">
      <c r="A2548" t="str">
        <f>"84798006"</f>
        <v>84798006</v>
      </c>
      <c r="B2548" t="s">
        <v>1258</v>
      </c>
    </row>
    <row r="2549" spans="1:2" x14ac:dyDescent="0.3">
      <c r="A2549" t="str">
        <f>"8480-022"</f>
        <v>8480-022</v>
      </c>
      <c r="B2549" t="s">
        <v>132</v>
      </c>
    </row>
    <row r="2550" spans="1:2" x14ac:dyDescent="0.3">
      <c r="A2550" t="str">
        <f>"8497K1"</f>
        <v>8497K1</v>
      </c>
      <c r="B2550" t="s">
        <v>2968</v>
      </c>
    </row>
    <row r="2551" spans="1:2" x14ac:dyDescent="0.3">
      <c r="A2551" t="str">
        <f>"849877-11A"</f>
        <v>849877-11A</v>
      </c>
      <c r="B2551" t="s">
        <v>4373</v>
      </c>
    </row>
    <row r="2552" spans="1:2" x14ac:dyDescent="0.3">
      <c r="A2552" t="str">
        <f>"849880-001"</f>
        <v>849880-001</v>
      </c>
      <c r="B2552" t="s">
        <v>4466</v>
      </c>
    </row>
    <row r="2553" spans="1:2" x14ac:dyDescent="0.3">
      <c r="A2553" t="str">
        <f>"849880-007"</f>
        <v>849880-007</v>
      </c>
      <c r="B2553" t="s">
        <v>4517</v>
      </c>
    </row>
    <row r="2554" spans="1:2" x14ac:dyDescent="0.3">
      <c r="A2554" t="str">
        <f>"849900-409"</f>
        <v>849900-409</v>
      </c>
      <c r="B2554" t="s">
        <v>4125</v>
      </c>
    </row>
    <row r="2555" spans="1:2" x14ac:dyDescent="0.3">
      <c r="A2555" t="str">
        <f>"85"</f>
        <v>85</v>
      </c>
      <c r="B2555" t="s">
        <v>11</v>
      </c>
    </row>
    <row r="2556" spans="1:2" x14ac:dyDescent="0.3">
      <c r="A2556" t="str">
        <f>"8500K1"</f>
        <v>8500K1</v>
      </c>
      <c r="B2556" t="s">
        <v>13</v>
      </c>
    </row>
    <row r="2557" spans="1:2" x14ac:dyDescent="0.3">
      <c r="A2557" t="str">
        <f>"8500K11"</f>
        <v>8500K11</v>
      </c>
      <c r="B2557" t="s">
        <v>13</v>
      </c>
    </row>
    <row r="2558" spans="1:2" x14ac:dyDescent="0.3">
      <c r="A2558" t="str">
        <f>"8501K14"</f>
        <v>8501K14</v>
      </c>
      <c r="B2558" t="s">
        <v>13</v>
      </c>
    </row>
    <row r="2559" spans="1:2" x14ac:dyDescent="0.3">
      <c r="A2559" t="str">
        <f>"8501K4"</f>
        <v>8501K4</v>
      </c>
      <c r="B2559" t="s">
        <v>13</v>
      </c>
    </row>
    <row r="2560" spans="1:2" x14ac:dyDescent="0.3">
      <c r="A2560" t="str">
        <f>"8502K15"</f>
        <v>8502K15</v>
      </c>
      <c r="B2560" t="s">
        <v>13</v>
      </c>
    </row>
    <row r="2561" spans="1:2" x14ac:dyDescent="0.3">
      <c r="A2561" t="str">
        <f>"8502K16"</f>
        <v>8502K16</v>
      </c>
      <c r="B2561" t="s">
        <v>13</v>
      </c>
    </row>
    <row r="2562" spans="1:2" x14ac:dyDescent="0.3">
      <c r="A2562" t="str">
        <f>"8502K17"</f>
        <v>8502K17</v>
      </c>
    </row>
    <row r="2563" spans="1:2" x14ac:dyDescent="0.3">
      <c r="A2563" t="str">
        <f>"8504-107"</f>
        <v>8504-107</v>
      </c>
      <c r="B2563" t="s">
        <v>151</v>
      </c>
    </row>
    <row r="2564" spans="1:2" x14ac:dyDescent="0.3">
      <c r="A2564" t="str">
        <f>"8505K61"</f>
        <v>8505K61</v>
      </c>
      <c r="B2564" t="s">
        <v>13</v>
      </c>
    </row>
    <row r="2565" spans="1:2" x14ac:dyDescent="0.3">
      <c r="A2565" t="str">
        <f>"85070-10"</f>
        <v>85070-10</v>
      </c>
      <c r="B2565" t="s">
        <v>3727</v>
      </c>
    </row>
    <row r="2566" spans="1:2" x14ac:dyDescent="0.3">
      <c r="A2566" t="str">
        <f>"850KU01-6AA"</f>
        <v>850KU01-6AA</v>
      </c>
      <c r="B2566" t="s">
        <v>13</v>
      </c>
    </row>
    <row r="2567" spans="1:2" x14ac:dyDescent="0.3">
      <c r="A2567" t="str">
        <f>"8512K15"</f>
        <v>8512K15</v>
      </c>
      <c r="B2567" t="s">
        <v>13</v>
      </c>
    </row>
    <row r="2568" spans="1:2" x14ac:dyDescent="0.3">
      <c r="A2568" t="str">
        <f>"85202N08"</f>
        <v>85202N08</v>
      </c>
      <c r="B2568" t="s">
        <v>108</v>
      </c>
    </row>
    <row r="2569" spans="1:2" x14ac:dyDescent="0.3">
      <c r="A2569" t="str">
        <f>"85202N12"</f>
        <v>85202N12</v>
      </c>
      <c r="B2569" t="s">
        <v>108</v>
      </c>
    </row>
    <row r="2570" spans="1:2" x14ac:dyDescent="0.3">
      <c r="A2570" t="str">
        <f>"852516N8B33SNH"</f>
        <v>852516N8B33SNH</v>
      </c>
      <c r="B2570" t="s">
        <v>22</v>
      </c>
    </row>
    <row r="2571" spans="1:2" x14ac:dyDescent="0.3">
      <c r="A2571" t="str">
        <f>"8525-16R8B3ASNH002"</f>
        <v>8525-16R8B3ASNH002</v>
      </c>
      <c r="B2571" t="s">
        <v>22</v>
      </c>
    </row>
    <row r="2572" spans="1:2" x14ac:dyDescent="0.3">
      <c r="A2572" t="str">
        <f>"8531K14"</f>
        <v>8531K14</v>
      </c>
      <c r="B2572" t="s">
        <v>13</v>
      </c>
    </row>
    <row r="2573" spans="1:2" x14ac:dyDescent="0.3">
      <c r="A2573" t="str">
        <f>"85333KS12-12PN"</f>
        <v>85333KS12-12PN</v>
      </c>
      <c r="B2573" t="s">
        <v>22</v>
      </c>
    </row>
    <row r="2574" spans="1:2" x14ac:dyDescent="0.3">
      <c r="A2574" t="str">
        <f>"854686-001"</f>
        <v>854686-001</v>
      </c>
      <c r="B2574" t="s">
        <v>3316</v>
      </c>
    </row>
    <row r="2575" spans="1:2" x14ac:dyDescent="0.3">
      <c r="A2575" t="str">
        <f>"855973-3-387"</f>
        <v>855973-3-387</v>
      </c>
      <c r="B2575" t="s">
        <v>1237</v>
      </c>
    </row>
    <row r="2576" spans="1:2" x14ac:dyDescent="0.3">
      <c r="A2576" t="str">
        <f>"855973-3L-387"</f>
        <v>855973-3L-387</v>
      </c>
      <c r="B2576" t="s">
        <v>1237</v>
      </c>
    </row>
    <row r="2577" spans="1:2" x14ac:dyDescent="0.3">
      <c r="A2577" t="str">
        <f>"855973-5-387"</f>
        <v>855973-5-387</v>
      </c>
      <c r="B2577" t="s">
        <v>1237</v>
      </c>
    </row>
    <row r="2578" spans="1:2" x14ac:dyDescent="0.3">
      <c r="A2578" t="str">
        <f>"855973-5L-387"</f>
        <v>855973-5L-387</v>
      </c>
      <c r="B2578" t="s">
        <v>1237</v>
      </c>
    </row>
    <row r="2579" spans="1:2" x14ac:dyDescent="0.3">
      <c r="A2579" t="str">
        <f>"855973-7-387"</f>
        <v>855973-7-387</v>
      </c>
      <c r="B2579" t="s">
        <v>1237</v>
      </c>
    </row>
    <row r="2580" spans="1:2" x14ac:dyDescent="0.3">
      <c r="A2580" t="str">
        <f>"855973-7L-387"</f>
        <v>855973-7L-387</v>
      </c>
      <c r="B2580" t="s">
        <v>1237</v>
      </c>
    </row>
    <row r="2581" spans="1:2" x14ac:dyDescent="0.3">
      <c r="A2581" t="str">
        <f>"856A1351G01"</f>
        <v>856A1351G01</v>
      </c>
      <c r="B2581" t="s">
        <v>4684</v>
      </c>
    </row>
    <row r="2582" spans="1:2" x14ac:dyDescent="0.3">
      <c r="A2582" t="str">
        <f>"856A2663G01"</f>
        <v>856A2663G01</v>
      </c>
      <c r="B2582" t="s">
        <v>4685</v>
      </c>
    </row>
    <row r="2583" spans="1:2" x14ac:dyDescent="0.3">
      <c r="A2583" t="str">
        <f>"856A4633G02"</f>
        <v>856A4633G02</v>
      </c>
      <c r="B2583" t="s">
        <v>772</v>
      </c>
    </row>
    <row r="2584" spans="1:2" x14ac:dyDescent="0.3">
      <c r="A2584" t="str">
        <f>"857760-1"</f>
        <v>857760-1</v>
      </c>
      <c r="B2584" t="s">
        <v>150</v>
      </c>
    </row>
    <row r="2585" spans="1:2" x14ac:dyDescent="0.3">
      <c r="A2585" t="str">
        <f>"859989-60"</f>
        <v>859989-60</v>
      </c>
      <c r="B2585" t="s">
        <v>151</v>
      </c>
    </row>
    <row r="2586" spans="1:2" x14ac:dyDescent="0.3">
      <c r="A2586" t="str">
        <f>"860636-401"</f>
        <v>860636-401</v>
      </c>
      <c r="B2586" t="s">
        <v>3325</v>
      </c>
    </row>
    <row r="2587" spans="1:2" x14ac:dyDescent="0.3">
      <c r="A2587" t="str">
        <f>"860636-402"</f>
        <v>860636-402</v>
      </c>
      <c r="B2587" t="s">
        <v>3325</v>
      </c>
    </row>
    <row r="2588" spans="1:2" x14ac:dyDescent="0.3">
      <c r="A2588" t="str">
        <f>"861280"</f>
        <v>861280</v>
      </c>
      <c r="B2588" t="s">
        <v>1499</v>
      </c>
    </row>
    <row r="2589" spans="1:2" x14ac:dyDescent="0.3">
      <c r="A2589" t="str">
        <f>"86317"</f>
        <v>86317</v>
      </c>
      <c r="B2589" t="s">
        <v>3780</v>
      </c>
    </row>
    <row r="2590" spans="1:2" x14ac:dyDescent="0.3">
      <c r="A2590" t="str">
        <f>"8636A"</f>
        <v>8636A</v>
      </c>
      <c r="B2590" t="s">
        <v>2780</v>
      </c>
    </row>
    <row r="2591" spans="1:2" x14ac:dyDescent="0.3">
      <c r="A2591" t="str">
        <f>"86415-10"</f>
        <v>86415-10</v>
      </c>
      <c r="B2591" t="s">
        <v>3728</v>
      </c>
    </row>
    <row r="2592" spans="1:2" x14ac:dyDescent="0.3">
      <c r="A2592" t="str">
        <f>"86416-10"</f>
        <v>86416-10</v>
      </c>
      <c r="B2592" t="s">
        <v>3729</v>
      </c>
    </row>
    <row r="2593" spans="1:2" x14ac:dyDescent="0.3">
      <c r="A2593" t="str">
        <f>"86605-001"</f>
        <v>86605-001</v>
      </c>
      <c r="B2593" t="s">
        <v>3557</v>
      </c>
    </row>
    <row r="2594" spans="1:2" x14ac:dyDescent="0.3">
      <c r="A2594" t="str">
        <f>"86656-003"</f>
        <v>86656-003</v>
      </c>
      <c r="B2594" t="s">
        <v>132</v>
      </c>
    </row>
    <row r="2595" spans="1:2" x14ac:dyDescent="0.3">
      <c r="A2595" t="str">
        <f>"875UN01D4AD6AC"</f>
        <v>875UN01D4AD6AC</v>
      </c>
      <c r="B2595" t="s">
        <v>125</v>
      </c>
    </row>
    <row r="2596" spans="1:2" x14ac:dyDescent="0.3">
      <c r="A2596" t="str">
        <f>"88-200"</f>
        <v>88-200</v>
      </c>
      <c r="B2596" t="s">
        <v>825</v>
      </c>
    </row>
    <row r="2597" spans="1:2" x14ac:dyDescent="0.3">
      <c r="A2597" t="str">
        <f>"8820K16"</f>
        <v>8820K16</v>
      </c>
    </row>
    <row r="2598" spans="1:2" x14ac:dyDescent="0.3">
      <c r="A2598" t="str">
        <f>"8824K14"</f>
        <v>8824K14</v>
      </c>
    </row>
    <row r="2599" spans="1:2" x14ac:dyDescent="0.3">
      <c r="A2599" t="str">
        <f>"883565-8"</f>
        <v>883565-8</v>
      </c>
      <c r="B2599" t="s">
        <v>568</v>
      </c>
    </row>
    <row r="2600" spans="1:2" x14ac:dyDescent="0.3">
      <c r="A2600" t="str">
        <f>"8836K1"</f>
        <v>8836K1</v>
      </c>
      <c r="B2600" t="s">
        <v>13</v>
      </c>
    </row>
    <row r="2601" spans="1:2" x14ac:dyDescent="0.3">
      <c r="A2601" t="str">
        <f>"8836K11"</f>
        <v>8836K11</v>
      </c>
      <c r="B2601" t="s">
        <v>13</v>
      </c>
    </row>
    <row r="2602" spans="1:2" x14ac:dyDescent="0.3">
      <c r="A2602" t="str">
        <f>"8836K2"</f>
        <v>8836K2</v>
      </c>
      <c r="B2602" t="s">
        <v>13</v>
      </c>
    </row>
    <row r="2603" spans="1:2" x14ac:dyDescent="0.3">
      <c r="A2603" t="str">
        <f>"8836K4"</f>
        <v>8836K4</v>
      </c>
      <c r="B2603" t="s">
        <v>13</v>
      </c>
    </row>
    <row r="2604" spans="1:2" x14ac:dyDescent="0.3">
      <c r="A2604" t="str">
        <f>"8836K9"</f>
        <v>8836K9</v>
      </c>
      <c r="B2604" t="s">
        <v>13</v>
      </c>
    </row>
    <row r="2605" spans="1:2" x14ac:dyDescent="0.3">
      <c r="A2605" t="str">
        <f>"8837K1"</f>
        <v>8837K1</v>
      </c>
      <c r="B2605" t="s">
        <v>13</v>
      </c>
    </row>
    <row r="2606" spans="1:2" x14ac:dyDescent="0.3">
      <c r="A2606" t="str">
        <f>"8837K2"</f>
        <v>8837K2</v>
      </c>
      <c r="B2606" t="s">
        <v>13</v>
      </c>
    </row>
    <row r="2607" spans="1:2" x14ac:dyDescent="0.3">
      <c r="A2607" t="str">
        <f>"8837K4"</f>
        <v>8837K4</v>
      </c>
      <c r="B2607" t="s">
        <v>13</v>
      </c>
    </row>
    <row r="2608" spans="1:2" x14ac:dyDescent="0.3">
      <c r="A2608" t="str">
        <f>"8837K7"</f>
        <v>8837K7</v>
      </c>
      <c r="B2608" t="s">
        <v>13</v>
      </c>
    </row>
    <row r="2609" spans="1:2" x14ac:dyDescent="0.3">
      <c r="A2609" t="str">
        <f>"8837K9"</f>
        <v>8837K9</v>
      </c>
      <c r="B2609" t="s">
        <v>13</v>
      </c>
    </row>
    <row r="2610" spans="1:2" x14ac:dyDescent="0.3">
      <c r="A2610" t="str">
        <f>"8838K1"</f>
        <v>8838K1</v>
      </c>
      <c r="B2610" t="s">
        <v>13</v>
      </c>
    </row>
    <row r="2611" spans="1:2" x14ac:dyDescent="0.3">
      <c r="A2611" t="str">
        <f>"8838K2"</f>
        <v>8838K2</v>
      </c>
      <c r="B2611" t="s">
        <v>13</v>
      </c>
    </row>
    <row r="2612" spans="1:2" x14ac:dyDescent="0.3">
      <c r="A2612" t="str">
        <f>"8838K3"</f>
        <v>8838K3</v>
      </c>
      <c r="B2612" t="s">
        <v>13</v>
      </c>
    </row>
    <row r="2613" spans="1:2" x14ac:dyDescent="0.3">
      <c r="A2613" t="str">
        <f>"8838K4"</f>
        <v>8838K4</v>
      </c>
      <c r="B2613" t="s">
        <v>13</v>
      </c>
    </row>
    <row r="2614" spans="1:2" x14ac:dyDescent="0.3">
      <c r="A2614" t="str">
        <f>"8843K1"</f>
        <v>8843K1</v>
      </c>
      <c r="B2614" t="s">
        <v>13</v>
      </c>
    </row>
    <row r="2615" spans="1:2" x14ac:dyDescent="0.3">
      <c r="A2615" t="str">
        <f>"8843K10"</f>
        <v>8843K10</v>
      </c>
      <c r="B2615" t="s">
        <v>13</v>
      </c>
    </row>
    <row r="2616" spans="1:2" x14ac:dyDescent="0.3">
      <c r="A2616" t="str">
        <f>"8843K4"</f>
        <v>8843K4</v>
      </c>
      <c r="B2616" t="s">
        <v>13</v>
      </c>
    </row>
    <row r="2617" spans="1:2" x14ac:dyDescent="0.3">
      <c r="A2617" t="str">
        <f>"8843K6"</f>
        <v>8843K6</v>
      </c>
      <c r="B2617" t="s">
        <v>126</v>
      </c>
    </row>
    <row r="2618" spans="1:2" x14ac:dyDescent="0.3">
      <c r="A2618" t="str">
        <f>"8844K1"</f>
        <v>8844K1</v>
      </c>
      <c r="B2618" t="s">
        <v>13</v>
      </c>
    </row>
    <row r="2619" spans="1:2" x14ac:dyDescent="0.3">
      <c r="A2619" t="str">
        <f>"8844K10"</f>
        <v>8844K10</v>
      </c>
      <c r="B2619" t="s">
        <v>13</v>
      </c>
    </row>
    <row r="2620" spans="1:2" x14ac:dyDescent="0.3">
      <c r="A2620" t="str">
        <f>"8844K11"</f>
        <v>8844K11</v>
      </c>
      <c r="B2620" t="s">
        <v>13</v>
      </c>
    </row>
    <row r="2621" spans="1:2" x14ac:dyDescent="0.3">
      <c r="A2621" t="str">
        <f>"8844K14"</f>
        <v>8844K14</v>
      </c>
      <c r="B2621" t="s">
        <v>13</v>
      </c>
    </row>
    <row r="2622" spans="1:2" x14ac:dyDescent="0.3">
      <c r="A2622" t="str">
        <f>"8844K17"</f>
        <v>8844K17</v>
      </c>
      <c r="B2622" t="s">
        <v>13</v>
      </c>
    </row>
    <row r="2623" spans="1:2" x14ac:dyDescent="0.3">
      <c r="A2623" t="str">
        <f>"8844K6"</f>
        <v>8844K6</v>
      </c>
      <c r="B2623" t="s">
        <v>13</v>
      </c>
    </row>
    <row r="2624" spans="1:2" x14ac:dyDescent="0.3">
      <c r="A2624" t="str">
        <f>"8845K1"</f>
        <v>8845K1</v>
      </c>
      <c r="B2624" t="s">
        <v>13</v>
      </c>
    </row>
    <row r="2625" spans="1:2" x14ac:dyDescent="0.3">
      <c r="A2625" t="str">
        <f>"8845K6"</f>
        <v>8845K6</v>
      </c>
      <c r="B2625" t="s">
        <v>13</v>
      </c>
    </row>
    <row r="2626" spans="1:2" x14ac:dyDescent="0.3">
      <c r="A2626" t="str">
        <f>"885016-1"</f>
        <v>885016-1</v>
      </c>
      <c r="B2626" t="s">
        <v>437</v>
      </c>
    </row>
    <row r="2627" spans="1:2" x14ac:dyDescent="0.3">
      <c r="A2627" t="str">
        <f>"8854K4"</f>
        <v>8854K4</v>
      </c>
      <c r="B2627" t="s">
        <v>13</v>
      </c>
    </row>
    <row r="2628" spans="1:2" x14ac:dyDescent="0.3">
      <c r="A2628" t="str">
        <f>"8855K13"</f>
        <v>8855K13</v>
      </c>
      <c r="B2628" t="s">
        <v>13</v>
      </c>
    </row>
    <row r="2629" spans="1:2" x14ac:dyDescent="0.3">
      <c r="A2629" t="str">
        <f>"8855K514"</f>
        <v>8855K514</v>
      </c>
      <c r="B2629" t="s">
        <v>13</v>
      </c>
    </row>
    <row r="2630" spans="1:2" x14ac:dyDescent="0.3">
      <c r="A2630" t="str">
        <f>"8855K515"</f>
        <v>8855K515</v>
      </c>
      <c r="B2630" t="s">
        <v>13</v>
      </c>
    </row>
    <row r="2631" spans="1:2" x14ac:dyDescent="0.3">
      <c r="A2631" t="str">
        <f>"8855K54"</f>
        <v>8855K54</v>
      </c>
      <c r="B2631" t="s">
        <v>13</v>
      </c>
    </row>
    <row r="2632" spans="1:2" x14ac:dyDescent="0.3">
      <c r="A2632" t="str">
        <f>"8855K57"</f>
        <v>8855K57</v>
      </c>
      <c r="B2632" t="s">
        <v>13</v>
      </c>
    </row>
    <row r="2633" spans="1:2" x14ac:dyDescent="0.3">
      <c r="A2633" t="str">
        <f>"8855K58"</f>
        <v>8855K58</v>
      </c>
      <c r="B2633" t="s">
        <v>13</v>
      </c>
    </row>
    <row r="2634" spans="1:2" x14ac:dyDescent="0.3">
      <c r="A2634" t="str">
        <f>"8856K54"</f>
        <v>8856K54</v>
      </c>
      <c r="B2634" t="s">
        <v>13</v>
      </c>
    </row>
    <row r="2635" spans="1:2" x14ac:dyDescent="0.3">
      <c r="A2635" t="str">
        <f>"8856K58"</f>
        <v>8856K58</v>
      </c>
      <c r="B2635" t="s">
        <v>13</v>
      </c>
    </row>
    <row r="2636" spans="1:2" x14ac:dyDescent="0.3">
      <c r="A2636" t="str">
        <f>"8868K2"</f>
        <v>8868K2</v>
      </c>
      <c r="B2636" t="s">
        <v>13</v>
      </c>
    </row>
    <row r="2637" spans="1:2" x14ac:dyDescent="0.3">
      <c r="A2637" t="str">
        <f>"8868K51"</f>
        <v>8868K51</v>
      </c>
      <c r="B2637" t="s">
        <v>13</v>
      </c>
    </row>
    <row r="2638" spans="1:2" x14ac:dyDescent="0.3">
      <c r="A2638" t="str">
        <f>"8868K52"</f>
        <v>8868K52</v>
      </c>
      <c r="B2638" t="s">
        <v>13</v>
      </c>
    </row>
    <row r="2639" spans="1:2" x14ac:dyDescent="0.3">
      <c r="A2639" t="str">
        <f>"8868K54"</f>
        <v>8868K54</v>
      </c>
      <c r="B2639" t="s">
        <v>13</v>
      </c>
    </row>
    <row r="2640" spans="1:2" x14ac:dyDescent="0.3">
      <c r="A2640" t="str">
        <f>"8868K57"</f>
        <v>8868K57</v>
      </c>
      <c r="B2640" t="s">
        <v>13</v>
      </c>
    </row>
    <row r="2641" spans="1:2" x14ac:dyDescent="0.3">
      <c r="A2641" t="str">
        <f>"8869K1"</f>
        <v>8869K1</v>
      </c>
      <c r="B2641" t="s">
        <v>13</v>
      </c>
    </row>
    <row r="2642" spans="1:2" x14ac:dyDescent="0.3">
      <c r="A2642" t="str">
        <f>"8869K11"</f>
        <v>8869K11</v>
      </c>
      <c r="B2642" t="s">
        <v>13</v>
      </c>
    </row>
    <row r="2643" spans="1:2" x14ac:dyDescent="0.3">
      <c r="A2643" t="str">
        <f>"8869K2"</f>
        <v>8869K2</v>
      </c>
      <c r="B2643" t="s">
        <v>13</v>
      </c>
    </row>
    <row r="2644" spans="1:2" x14ac:dyDescent="0.3">
      <c r="A2644" t="str">
        <f>"8869K4"</f>
        <v>8869K4</v>
      </c>
      <c r="B2644" t="s">
        <v>13</v>
      </c>
    </row>
    <row r="2645" spans="1:2" x14ac:dyDescent="0.3">
      <c r="A2645" t="str">
        <f>"8869K51"</f>
        <v>8869K51</v>
      </c>
      <c r="B2645" t="s">
        <v>13</v>
      </c>
    </row>
    <row r="2646" spans="1:2" x14ac:dyDescent="0.3">
      <c r="A2646" t="str">
        <f>"8869K54"</f>
        <v>8869K54</v>
      </c>
      <c r="B2646" t="s">
        <v>13</v>
      </c>
    </row>
    <row r="2647" spans="1:2" x14ac:dyDescent="0.3">
      <c r="A2647" t="str">
        <f>"8869K57"</f>
        <v>8869K57</v>
      </c>
      <c r="B2647" t="s">
        <v>13</v>
      </c>
    </row>
    <row r="2648" spans="1:2" x14ac:dyDescent="0.3">
      <c r="A2648" t="str">
        <f>"8869K9"</f>
        <v>8869K9</v>
      </c>
      <c r="B2648" t="s">
        <v>13</v>
      </c>
    </row>
    <row r="2649" spans="1:2" x14ac:dyDescent="0.3">
      <c r="A2649" t="str">
        <f>"887986-2"</f>
        <v>887986-2</v>
      </c>
      <c r="B2649" t="s">
        <v>154</v>
      </c>
    </row>
    <row r="2650" spans="1:2" x14ac:dyDescent="0.3">
      <c r="A2650" t="str">
        <f>"89122-00014"</f>
        <v>89122-00014</v>
      </c>
      <c r="B2650" t="s">
        <v>494</v>
      </c>
    </row>
    <row r="2651" spans="1:2" x14ac:dyDescent="0.3">
      <c r="A2651" t="str">
        <f>"89122-00016"</f>
        <v>89122-00016</v>
      </c>
      <c r="B2651" t="s">
        <v>494</v>
      </c>
    </row>
    <row r="2652" spans="1:2" x14ac:dyDescent="0.3">
      <c r="A2652" t="str">
        <f>"89122-00031"</f>
        <v>89122-00031</v>
      </c>
      <c r="B2652" t="s">
        <v>494</v>
      </c>
    </row>
    <row r="2653" spans="1:2" x14ac:dyDescent="0.3">
      <c r="A2653" t="str">
        <f>"89122-00032"</f>
        <v>89122-00032</v>
      </c>
      <c r="B2653" t="s">
        <v>494</v>
      </c>
    </row>
    <row r="2654" spans="1:2" x14ac:dyDescent="0.3">
      <c r="A2654" t="str">
        <f>"89122-00033"</f>
        <v>89122-00033</v>
      </c>
      <c r="B2654" t="s">
        <v>494</v>
      </c>
    </row>
    <row r="2655" spans="1:2" x14ac:dyDescent="0.3">
      <c r="A2655" t="str">
        <f>"89122-00034"</f>
        <v>89122-00034</v>
      </c>
      <c r="B2655" t="s">
        <v>494</v>
      </c>
    </row>
    <row r="2656" spans="1:2" x14ac:dyDescent="0.3">
      <c r="A2656" t="str">
        <f>"89122-00035"</f>
        <v>89122-00035</v>
      </c>
      <c r="B2656" t="s">
        <v>494</v>
      </c>
    </row>
    <row r="2657" spans="1:2" x14ac:dyDescent="0.3">
      <c r="A2657" t="str">
        <f>"89122-00085"</f>
        <v>89122-00085</v>
      </c>
      <c r="B2657" t="s">
        <v>494</v>
      </c>
    </row>
    <row r="2658" spans="1:2" x14ac:dyDescent="0.3">
      <c r="A2658" t="str">
        <f>"89122-00118"</f>
        <v>89122-00118</v>
      </c>
      <c r="B2658" t="s">
        <v>142</v>
      </c>
    </row>
    <row r="2659" spans="1:2" x14ac:dyDescent="0.3">
      <c r="A2659" t="str">
        <f>"89124-00081"</f>
        <v>89124-00081</v>
      </c>
    </row>
    <row r="2660" spans="1:2" x14ac:dyDescent="0.3">
      <c r="A2660" t="str">
        <f>"89124-00117"</f>
        <v>89124-00117</v>
      </c>
      <c r="B2660" t="s">
        <v>475</v>
      </c>
    </row>
    <row r="2661" spans="1:2" x14ac:dyDescent="0.3">
      <c r="A2661" t="str">
        <f>"89130-00268"</f>
        <v>89130-00268</v>
      </c>
      <c r="B2661" t="s">
        <v>481</v>
      </c>
    </row>
    <row r="2662" spans="1:2" x14ac:dyDescent="0.3">
      <c r="A2662" t="str">
        <f>"89199-00615"</f>
        <v>89199-00615</v>
      </c>
      <c r="B2662" t="s">
        <v>353</v>
      </c>
    </row>
    <row r="2663" spans="1:2" x14ac:dyDescent="0.3">
      <c r="A2663" t="str">
        <f>"8921"</f>
        <v>8921</v>
      </c>
      <c r="B2663" t="s">
        <v>1089</v>
      </c>
    </row>
    <row r="2664" spans="1:2" x14ac:dyDescent="0.3">
      <c r="A2664" t="str">
        <f>"8927"</f>
        <v>8927</v>
      </c>
      <c r="B2664" t="s">
        <v>3901</v>
      </c>
    </row>
    <row r="2665" spans="1:2" x14ac:dyDescent="0.3">
      <c r="A2665" t="str">
        <f>"8-933-01"</f>
        <v>8-933-01</v>
      </c>
      <c r="B2665" t="s">
        <v>511</v>
      </c>
    </row>
    <row r="2666" spans="1:2" x14ac:dyDescent="0.3">
      <c r="A2666" t="str">
        <f>"896-4102"</f>
        <v>896-4102</v>
      </c>
      <c r="B2666" t="s">
        <v>15</v>
      </c>
    </row>
    <row r="2667" spans="1:2" x14ac:dyDescent="0.3">
      <c r="A2667" t="str">
        <f>"8ES400634-00"</f>
        <v>8ES400634-00</v>
      </c>
      <c r="B2667" t="s">
        <v>2020</v>
      </c>
    </row>
    <row r="2668" spans="1:2" x14ac:dyDescent="0.3">
      <c r="A2668" t="str">
        <f>"8GH003912-06"</f>
        <v>8GH003912-06</v>
      </c>
      <c r="B2668" t="s">
        <v>11</v>
      </c>
    </row>
    <row r="2669" spans="1:2" x14ac:dyDescent="0.3">
      <c r="A2669" t="str">
        <f>"8GH004554-28"</f>
        <v>8GH004554-28</v>
      </c>
      <c r="B2669" t="s">
        <v>486</v>
      </c>
    </row>
    <row r="2670" spans="1:2" x14ac:dyDescent="0.3">
      <c r="A2670" t="str">
        <f>"8GH005448-28"</f>
        <v>8GH005448-28</v>
      </c>
      <c r="B2670" t="s">
        <v>1655</v>
      </c>
    </row>
    <row r="2671" spans="1:2" x14ac:dyDescent="0.3">
      <c r="A2671" t="str">
        <f>"8GH005678-06"</f>
        <v>8GH005678-06</v>
      </c>
      <c r="B2671" t="s">
        <v>11</v>
      </c>
    </row>
    <row r="2672" spans="1:2" x14ac:dyDescent="0.3">
      <c r="A2672" t="str">
        <f>"8GS005453-28"</f>
        <v>8GS005453-28</v>
      </c>
      <c r="B2672" t="s">
        <v>964</v>
      </c>
    </row>
    <row r="2673" spans="1:2" x14ac:dyDescent="0.3">
      <c r="A2673" t="str">
        <f>"8GS005453-28(OL)"</f>
        <v>8GS005453-28(OL)</v>
      </c>
      <c r="B2673" t="s">
        <v>4121</v>
      </c>
    </row>
    <row r="2674" spans="1:2" x14ac:dyDescent="0.3">
      <c r="A2674" t="str">
        <f>"8JS403061-02"</f>
        <v>8JS403061-02</v>
      </c>
      <c r="B2674" t="s">
        <v>264</v>
      </c>
    </row>
    <row r="2675" spans="1:2" x14ac:dyDescent="0.3">
      <c r="A2675" t="str">
        <f>"8SD"</f>
        <v>8SD</v>
      </c>
      <c r="B2675" t="s">
        <v>1554</v>
      </c>
    </row>
    <row r="2676" spans="1:2" x14ac:dyDescent="0.3">
      <c r="A2676" t="str">
        <f>"8TJ143TAA1"</f>
        <v>8TJ143TAA1</v>
      </c>
      <c r="B2676" t="s">
        <v>13</v>
      </c>
    </row>
    <row r="2677" spans="1:2" x14ac:dyDescent="0.3">
      <c r="A2677" t="str">
        <f>"900005-002"</f>
        <v>900005-002</v>
      </c>
      <c r="B2677" t="s">
        <v>2029</v>
      </c>
    </row>
    <row r="2678" spans="1:2" x14ac:dyDescent="0.3">
      <c r="A2678" t="str">
        <f>"900005-003"</f>
        <v>900005-003</v>
      </c>
      <c r="B2678" t="s">
        <v>2246</v>
      </c>
    </row>
    <row r="2679" spans="1:2" x14ac:dyDescent="0.3">
      <c r="A2679" t="str">
        <f>"90001931"</f>
        <v>90001931</v>
      </c>
      <c r="B2679" t="s">
        <v>188</v>
      </c>
    </row>
    <row r="2680" spans="1:2" x14ac:dyDescent="0.3">
      <c r="A2680" t="str">
        <f>"90002241"</f>
        <v>90002241</v>
      </c>
      <c r="B2680" t="s">
        <v>1810</v>
      </c>
    </row>
    <row r="2681" spans="1:2" x14ac:dyDescent="0.3">
      <c r="A2681" t="str">
        <f>"90002242"</f>
        <v>90002242</v>
      </c>
      <c r="B2681" t="s">
        <v>1804</v>
      </c>
    </row>
    <row r="2682" spans="1:2" x14ac:dyDescent="0.3">
      <c r="A2682" t="str">
        <f>"90002245"</f>
        <v>90002245</v>
      </c>
      <c r="B2682" t="s">
        <v>1804</v>
      </c>
    </row>
    <row r="2683" spans="1:2" x14ac:dyDescent="0.3">
      <c r="A2683" t="str">
        <f>"90005-001"</f>
        <v>90005-001</v>
      </c>
      <c r="B2683" t="s">
        <v>116</v>
      </c>
    </row>
    <row r="2684" spans="1:2" x14ac:dyDescent="0.3">
      <c r="A2684" t="str">
        <f>"900-12471-005"</f>
        <v>900-12471-005</v>
      </c>
      <c r="B2684" t="s">
        <v>460</v>
      </c>
    </row>
    <row r="2685" spans="1:2" x14ac:dyDescent="0.3">
      <c r="A2685" t="str">
        <f>"900-12471-430"</f>
        <v>900-12471-430</v>
      </c>
      <c r="B2685" t="s">
        <v>494</v>
      </c>
    </row>
    <row r="2686" spans="1:2" x14ac:dyDescent="0.3">
      <c r="A2686" t="str">
        <f>"900-12471-465"</f>
        <v>900-12471-465</v>
      </c>
      <c r="B2686" t="s">
        <v>3450</v>
      </c>
    </row>
    <row r="2687" spans="1:2" x14ac:dyDescent="0.3">
      <c r="A2687" t="str">
        <f>"900-12471-503"</f>
        <v>900-12471-503</v>
      </c>
      <c r="B2687" t="s">
        <v>460</v>
      </c>
    </row>
    <row r="2688" spans="1:2" x14ac:dyDescent="0.3">
      <c r="A2688" t="str">
        <f>"900-12471-635"</f>
        <v>900-12471-635</v>
      </c>
      <c r="B2688" t="s">
        <v>494</v>
      </c>
    </row>
    <row r="2689" spans="1:2" x14ac:dyDescent="0.3">
      <c r="A2689" t="str">
        <f>"900-12471-826"</f>
        <v>900-12471-826</v>
      </c>
      <c r="B2689" t="s">
        <v>494</v>
      </c>
    </row>
    <row r="2690" spans="1:2" x14ac:dyDescent="0.3">
      <c r="A2690" t="str">
        <f>"900-12471-880"</f>
        <v>900-12471-880</v>
      </c>
      <c r="B2690" t="s">
        <v>494</v>
      </c>
    </row>
    <row r="2691" spans="1:2" x14ac:dyDescent="0.3">
      <c r="A2691" t="str">
        <f>"900-12472-002"</f>
        <v>900-12472-002</v>
      </c>
      <c r="B2691" t="s">
        <v>1598</v>
      </c>
    </row>
    <row r="2692" spans="1:2" x14ac:dyDescent="0.3">
      <c r="A2692" t="str">
        <f>"900-12597-4"</f>
        <v>900-12597-4</v>
      </c>
      <c r="B2692" t="s">
        <v>13</v>
      </c>
    </row>
    <row r="2693" spans="1:2" x14ac:dyDescent="0.3">
      <c r="A2693" t="str">
        <f>"900-14052-1000"</f>
        <v>900-14052-1000</v>
      </c>
      <c r="B2693" t="s">
        <v>481</v>
      </c>
    </row>
    <row r="2694" spans="1:2" x14ac:dyDescent="0.3">
      <c r="A2694" t="str">
        <f>"900-14112-117"</f>
        <v>900-14112-117</v>
      </c>
      <c r="B2694" t="s">
        <v>22</v>
      </c>
    </row>
    <row r="2695" spans="1:2" x14ac:dyDescent="0.3">
      <c r="A2695" t="str">
        <f>"9006A0045-01"</f>
        <v>9006A0045-01</v>
      </c>
      <c r="B2695" t="s">
        <v>3591</v>
      </c>
    </row>
    <row r="2696" spans="1:2" x14ac:dyDescent="0.3">
      <c r="A2696" t="str">
        <f>"902010-004"</f>
        <v>902010-004</v>
      </c>
      <c r="B2696" t="s">
        <v>381</v>
      </c>
    </row>
    <row r="2697" spans="1:2" x14ac:dyDescent="0.3">
      <c r="A2697" t="str">
        <f>"902013-002"</f>
        <v>902013-002</v>
      </c>
      <c r="B2697" t="s">
        <v>2292</v>
      </c>
    </row>
    <row r="2698" spans="1:2" x14ac:dyDescent="0.3">
      <c r="A2698" t="str">
        <f>"902016-008"</f>
        <v>902016-008</v>
      </c>
      <c r="B2698" t="s">
        <v>381</v>
      </c>
    </row>
    <row r="2699" spans="1:2" x14ac:dyDescent="0.3">
      <c r="A2699" t="str">
        <f>"902-9-292"</f>
        <v>902-9-292</v>
      </c>
      <c r="B2699" t="s">
        <v>173</v>
      </c>
    </row>
    <row r="2700" spans="1:2" x14ac:dyDescent="0.3">
      <c r="A2700" t="str">
        <f>"903-1341"</f>
        <v>903-1341</v>
      </c>
      <c r="B2700" t="s">
        <v>4663</v>
      </c>
    </row>
    <row r="2701" spans="1:2" x14ac:dyDescent="0.3">
      <c r="A2701" t="str">
        <f>"90-33"</f>
        <v>90-33</v>
      </c>
      <c r="B2701" t="s">
        <v>1931</v>
      </c>
    </row>
    <row r="2702" spans="1:2" x14ac:dyDescent="0.3">
      <c r="A2702" t="str">
        <f>"90387-1"</f>
        <v>90387-1</v>
      </c>
      <c r="B2702" t="s">
        <v>2112</v>
      </c>
    </row>
    <row r="2703" spans="1:2" x14ac:dyDescent="0.3">
      <c r="A2703" t="str">
        <f>"90387-3"</f>
        <v>90387-3</v>
      </c>
      <c r="B2703" t="s">
        <v>2112</v>
      </c>
    </row>
    <row r="2704" spans="1:2" x14ac:dyDescent="0.3">
      <c r="A2704" t="str">
        <f>"9043185-13"</f>
        <v>9043185-13</v>
      </c>
      <c r="B2704" t="s">
        <v>734</v>
      </c>
    </row>
    <row r="2705" spans="1:2" x14ac:dyDescent="0.3">
      <c r="A2705" t="str">
        <f>"9043185-14"</f>
        <v>9043185-14</v>
      </c>
      <c r="B2705" t="s">
        <v>734</v>
      </c>
    </row>
    <row r="2706" spans="1:2" x14ac:dyDescent="0.3">
      <c r="A2706" t="str">
        <f>"9043185-15"</f>
        <v>9043185-15</v>
      </c>
      <c r="B2706" t="s">
        <v>2088</v>
      </c>
    </row>
    <row r="2707" spans="1:2" x14ac:dyDescent="0.3">
      <c r="A2707" t="str">
        <f>"9043185-16"</f>
        <v>9043185-16</v>
      </c>
      <c r="B2707" t="s">
        <v>2088</v>
      </c>
    </row>
    <row r="2708" spans="1:2" x14ac:dyDescent="0.3">
      <c r="A2708" t="str">
        <f>"9043876"</f>
        <v>9043876</v>
      </c>
      <c r="B2708" t="s">
        <v>2291</v>
      </c>
    </row>
    <row r="2709" spans="1:2" x14ac:dyDescent="0.3">
      <c r="A2709" t="str">
        <f>"9043877"</f>
        <v>9043877</v>
      </c>
      <c r="B2709" t="s">
        <v>2291</v>
      </c>
    </row>
    <row r="2710" spans="1:2" x14ac:dyDescent="0.3">
      <c r="A2710" t="str">
        <f>"9043889"</f>
        <v>9043889</v>
      </c>
      <c r="B2710" t="s">
        <v>2291</v>
      </c>
    </row>
    <row r="2711" spans="1:2" x14ac:dyDescent="0.3">
      <c r="A2711" t="str">
        <f>"9043894"</f>
        <v>9043894</v>
      </c>
      <c r="B2711" t="s">
        <v>2291</v>
      </c>
    </row>
    <row r="2712" spans="1:2" x14ac:dyDescent="0.3">
      <c r="A2712" t="str">
        <f>"9044616"</f>
        <v>9044616</v>
      </c>
      <c r="B2712" t="s">
        <v>336</v>
      </c>
    </row>
    <row r="2713" spans="1:2" x14ac:dyDescent="0.3">
      <c r="A2713" t="str">
        <f>"9048156"</f>
        <v>9048156</v>
      </c>
      <c r="B2713" t="s">
        <v>132</v>
      </c>
    </row>
    <row r="2714" spans="1:2" x14ac:dyDescent="0.3">
      <c r="A2714" t="str">
        <f>"9058685-2 REVM"</f>
        <v>9058685-2 REVM</v>
      </c>
      <c r="B2714" t="s">
        <v>2847</v>
      </c>
    </row>
    <row r="2715" spans="1:2" x14ac:dyDescent="0.3">
      <c r="A2715" t="str">
        <f>"906-50037-027"</f>
        <v>906-50037-027</v>
      </c>
      <c r="B2715" t="s">
        <v>139</v>
      </c>
    </row>
    <row r="2716" spans="1:2" x14ac:dyDescent="0.3">
      <c r="A2716" t="str">
        <f>"906-60069-234"</f>
        <v>906-60069-234</v>
      </c>
      <c r="B2716" t="s">
        <v>494</v>
      </c>
    </row>
    <row r="2717" spans="1:2" x14ac:dyDescent="0.3">
      <c r="A2717" t="str">
        <f>"90665A-2"</f>
        <v>90665A-2</v>
      </c>
      <c r="B2717" t="s">
        <v>489</v>
      </c>
    </row>
    <row r="2718" spans="1:2" x14ac:dyDescent="0.3">
      <c r="A2718" t="str">
        <f>"90665B-5"</f>
        <v>90665B-5</v>
      </c>
      <c r="B2718" t="s">
        <v>468</v>
      </c>
    </row>
    <row r="2719" spans="1:2" x14ac:dyDescent="0.3">
      <c r="A2719" t="str">
        <f>"9072215-1"</f>
        <v>9072215-1</v>
      </c>
      <c r="B2719" t="s">
        <v>566</v>
      </c>
    </row>
    <row r="2720" spans="1:2" x14ac:dyDescent="0.3">
      <c r="A2720" t="str">
        <f>"908D109-42"</f>
        <v>908D109-42</v>
      </c>
      <c r="B2720" t="s">
        <v>133</v>
      </c>
    </row>
    <row r="2721" spans="1:2" x14ac:dyDescent="0.3">
      <c r="A2721" t="str">
        <f>"90G237"</f>
        <v>90G237</v>
      </c>
      <c r="B2721" t="s">
        <v>13</v>
      </c>
    </row>
    <row r="2722" spans="1:2" x14ac:dyDescent="0.3">
      <c r="A2722" t="str">
        <f>"90K600"</f>
        <v>90K600</v>
      </c>
      <c r="B2722" t="s">
        <v>4362</v>
      </c>
    </row>
    <row r="2723" spans="1:2" x14ac:dyDescent="0.3">
      <c r="A2723" t="str">
        <f>"9105A0005-02"</f>
        <v>9105A0005-02</v>
      </c>
      <c r="B2723" t="s">
        <v>511</v>
      </c>
    </row>
    <row r="2724" spans="1:2" x14ac:dyDescent="0.3">
      <c r="A2724" t="str">
        <f>"91080-14"</f>
        <v>91080-14</v>
      </c>
      <c r="B2724" t="s">
        <v>3293</v>
      </c>
    </row>
    <row r="2725" spans="1:2" x14ac:dyDescent="0.3">
      <c r="A2725" t="str">
        <f>"911020-001"</f>
        <v>911020-001</v>
      </c>
      <c r="B2725" t="s">
        <v>1225</v>
      </c>
    </row>
    <row r="2726" spans="1:2" x14ac:dyDescent="0.3">
      <c r="A2726" t="str">
        <f>"911131-001"</f>
        <v>911131-001</v>
      </c>
      <c r="B2726" t="s">
        <v>13</v>
      </c>
    </row>
    <row r="2727" spans="1:2" x14ac:dyDescent="0.3">
      <c r="A2727" t="str">
        <f>"9111M35P04"</f>
        <v>9111M35P04</v>
      </c>
      <c r="B2727" t="s">
        <v>116</v>
      </c>
    </row>
    <row r="2728" spans="1:2" x14ac:dyDescent="0.3">
      <c r="A2728" t="str">
        <f>"9111M35P14"</f>
        <v>9111M35P14</v>
      </c>
      <c r="B2728" t="s">
        <v>116</v>
      </c>
    </row>
    <row r="2729" spans="1:2" x14ac:dyDescent="0.3">
      <c r="A2729" t="str">
        <f>"9123-8071"</f>
        <v>9123-8071</v>
      </c>
      <c r="B2729" t="s">
        <v>175</v>
      </c>
    </row>
    <row r="2730" spans="1:2" x14ac:dyDescent="0.3">
      <c r="A2730" t="str">
        <f>"915UN01B4AA5A"</f>
        <v>915UN01B4AA5A</v>
      </c>
      <c r="B2730" t="s">
        <v>13</v>
      </c>
    </row>
    <row r="2731" spans="1:2" x14ac:dyDescent="0.3">
      <c r="A2731" t="str">
        <f>"915UN01B4AG8A"</f>
        <v>915UN01B4AG8A</v>
      </c>
      <c r="B2731" t="s">
        <v>13</v>
      </c>
    </row>
    <row r="2732" spans="1:2" x14ac:dyDescent="0.3">
      <c r="A2732" t="str">
        <f>"918002-6D"</f>
        <v>918002-6D</v>
      </c>
      <c r="B2732" t="s">
        <v>1637</v>
      </c>
    </row>
    <row r="2733" spans="1:2" x14ac:dyDescent="0.3">
      <c r="A2733" t="str">
        <f>"91893"</f>
        <v>91893</v>
      </c>
      <c r="B2733" t="s">
        <v>706</v>
      </c>
    </row>
    <row r="2734" spans="1:2" x14ac:dyDescent="0.3">
      <c r="A2734" t="str">
        <f>"91SX41"</f>
        <v>91SX41</v>
      </c>
      <c r="B2734" t="s">
        <v>13</v>
      </c>
    </row>
    <row r="2735" spans="1:2" x14ac:dyDescent="0.3">
      <c r="A2735" t="str">
        <f>"92000-351-10"</f>
        <v>92000-351-10</v>
      </c>
      <c r="B2735" t="s">
        <v>119</v>
      </c>
    </row>
    <row r="2736" spans="1:2" x14ac:dyDescent="0.3">
      <c r="A2736" t="str">
        <f>"9200-116-0"</f>
        <v>9200-116-0</v>
      </c>
      <c r="B2736" t="s">
        <v>188</v>
      </c>
    </row>
    <row r="2737" spans="1:2" x14ac:dyDescent="0.3">
      <c r="A2737" t="str">
        <f>"92001-205-11"</f>
        <v>92001-205-11</v>
      </c>
      <c r="B2737" t="s">
        <v>4628</v>
      </c>
    </row>
    <row r="2738" spans="1:2" x14ac:dyDescent="0.3">
      <c r="A2738" t="str">
        <f>"92001-406-10"</f>
        <v>92001-406-10</v>
      </c>
      <c r="B2738" t="s">
        <v>4613</v>
      </c>
    </row>
    <row r="2739" spans="1:2" x14ac:dyDescent="0.3">
      <c r="A2739" t="str">
        <f>"92001-760-10"</f>
        <v>92001-760-10</v>
      </c>
      <c r="B2739" t="s">
        <v>4645</v>
      </c>
    </row>
    <row r="2740" spans="1:2" x14ac:dyDescent="0.3">
      <c r="A2740" t="str">
        <f>"92003-31-10"</f>
        <v>92003-31-10</v>
      </c>
      <c r="B2740" t="s">
        <v>4413</v>
      </c>
    </row>
    <row r="2741" spans="1:2" x14ac:dyDescent="0.3">
      <c r="A2741" t="str">
        <f>"92003-32-10"</f>
        <v>92003-32-10</v>
      </c>
      <c r="B2741" t="s">
        <v>4413</v>
      </c>
    </row>
    <row r="2742" spans="1:2" x14ac:dyDescent="0.3">
      <c r="A2742" t="str">
        <f>"92003-505-10"</f>
        <v>92003-505-10</v>
      </c>
      <c r="B2742" t="s">
        <v>4646</v>
      </c>
    </row>
    <row r="2743" spans="1:2" x14ac:dyDescent="0.3">
      <c r="A2743" t="str">
        <f>"9204"</f>
        <v>9204</v>
      </c>
      <c r="B2743" t="s">
        <v>623</v>
      </c>
    </row>
    <row r="2744" spans="1:2" x14ac:dyDescent="0.3">
      <c r="A2744" t="str">
        <f>"92390-01"</f>
        <v>92390-01</v>
      </c>
      <c r="B2744" t="s">
        <v>4044</v>
      </c>
    </row>
    <row r="2745" spans="1:2" x14ac:dyDescent="0.3">
      <c r="A2745" t="str">
        <f>"928A039-15"</f>
        <v>928A039-15</v>
      </c>
      <c r="B2745" t="s">
        <v>133</v>
      </c>
    </row>
    <row r="2746" spans="1:2" x14ac:dyDescent="0.3">
      <c r="A2746" t="str">
        <f>"929A514-1"</f>
        <v>929A514-1</v>
      </c>
      <c r="B2746" t="s">
        <v>13</v>
      </c>
    </row>
    <row r="2747" spans="1:2" x14ac:dyDescent="0.3">
      <c r="A2747" t="str">
        <f>"9300107"</f>
        <v>9300107</v>
      </c>
      <c r="B2747" t="s">
        <v>2616</v>
      </c>
    </row>
    <row r="2748" spans="1:2" x14ac:dyDescent="0.3">
      <c r="A2748" t="str">
        <f>"9300-107"</f>
        <v>9300-107</v>
      </c>
      <c r="B2748" t="s">
        <v>119</v>
      </c>
    </row>
    <row r="2749" spans="1:2" x14ac:dyDescent="0.3">
      <c r="A2749" t="str">
        <f>"9300-202"</f>
        <v>9300-202</v>
      </c>
      <c r="B2749" t="s">
        <v>269</v>
      </c>
    </row>
    <row r="2750" spans="1:2" x14ac:dyDescent="0.3">
      <c r="A2750" t="str">
        <f>"9300-209"</f>
        <v>9300-209</v>
      </c>
      <c r="B2750" t="s">
        <v>455</v>
      </c>
    </row>
    <row r="2751" spans="1:2" x14ac:dyDescent="0.3">
      <c r="A2751" t="str">
        <f>"9300-213"</f>
        <v>9300-213</v>
      </c>
      <c r="B2751" t="s">
        <v>456</v>
      </c>
    </row>
    <row r="2752" spans="1:2" x14ac:dyDescent="0.3">
      <c r="A2752" t="str">
        <f>"9300-218-03"</f>
        <v>9300-218-03</v>
      </c>
      <c r="B2752" t="s">
        <v>162</v>
      </c>
    </row>
    <row r="2753" spans="1:2" x14ac:dyDescent="0.3">
      <c r="A2753" t="str">
        <f>"9300-286"</f>
        <v>9300-286</v>
      </c>
      <c r="B2753" t="s">
        <v>504</v>
      </c>
    </row>
    <row r="2754" spans="1:2" x14ac:dyDescent="0.3">
      <c r="A2754" t="str">
        <f>"9300A004"</f>
        <v>9300A004</v>
      </c>
      <c r="B2754" t="s">
        <v>366</v>
      </c>
    </row>
    <row r="2755" spans="1:2" x14ac:dyDescent="0.3">
      <c r="A2755" t="str">
        <f>"9300A015S"</f>
        <v>9300A015S</v>
      </c>
      <c r="B2755" t="s">
        <v>2924</v>
      </c>
    </row>
    <row r="2756" spans="1:2" x14ac:dyDescent="0.3">
      <c r="A2756" t="str">
        <f>"9300A017"</f>
        <v>9300A017</v>
      </c>
      <c r="B2756" t="s">
        <v>2959</v>
      </c>
    </row>
    <row r="2757" spans="1:2" x14ac:dyDescent="0.3">
      <c r="A2757" t="str">
        <f>"9300A040S"</f>
        <v>9300A040S</v>
      </c>
      <c r="B2757" t="s">
        <v>1687</v>
      </c>
    </row>
    <row r="2758" spans="1:2" x14ac:dyDescent="0.3">
      <c r="A2758" t="str">
        <f>"9339-10274"</f>
        <v>9339-10274</v>
      </c>
      <c r="B2758" t="s">
        <v>175</v>
      </c>
    </row>
    <row r="2759" spans="1:2" x14ac:dyDescent="0.3">
      <c r="A2759" t="str">
        <f>"936A513-1"</f>
        <v>936A513-1</v>
      </c>
      <c r="B2759" t="s">
        <v>133</v>
      </c>
    </row>
    <row r="2760" spans="1:2" x14ac:dyDescent="0.3">
      <c r="A2760" t="str">
        <f>"939138501"</f>
        <v>939138501</v>
      </c>
      <c r="B2760" t="s">
        <v>2960</v>
      </c>
    </row>
    <row r="2761" spans="1:2" x14ac:dyDescent="0.3">
      <c r="A2761" t="str">
        <f>"93A400"</f>
        <v>93A400</v>
      </c>
      <c r="B2761" t="s">
        <v>2233</v>
      </c>
    </row>
    <row r="2762" spans="1:2" x14ac:dyDescent="0.3">
      <c r="A2762" t="str">
        <f>"93-A400"</f>
        <v>93-A400</v>
      </c>
      <c r="B2762" t="s">
        <v>2233</v>
      </c>
    </row>
    <row r="2763" spans="1:2" x14ac:dyDescent="0.3">
      <c r="A2763" t="str">
        <f>"9416-7"</f>
        <v>9416-7</v>
      </c>
    </row>
    <row r="2764" spans="1:2" x14ac:dyDescent="0.3">
      <c r="A2764" t="str">
        <f>"95-000501-001-0"</f>
        <v>95-000501-001-0</v>
      </c>
      <c r="B2764" t="s">
        <v>2514</v>
      </c>
    </row>
    <row r="2765" spans="1:2" x14ac:dyDescent="0.3">
      <c r="A2765" t="str">
        <f>"95-000502-001-0"</f>
        <v>95-000502-001-0</v>
      </c>
      <c r="B2765" t="s">
        <v>3868</v>
      </c>
    </row>
    <row r="2766" spans="1:2" x14ac:dyDescent="0.3">
      <c r="A2766" t="str">
        <f>"9-500-16"</f>
        <v>9-500-16</v>
      </c>
      <c r="B2766" t="s">
        <v>4540</v>
      </c>
    </row>
    <row r="2767" spans="1:2" x14ac:dyDescent="0.3">
      <c r="A2767" t="str">
        <f>"95-022-5-039"</f>
        <v>95-022-5-039</v>
      </c>
      <c r="B2767" t="s">
        <v>132</v>
      </c>
    </row>
    <row r="2768" spans="1:2" x14ac:dyDescent="0.3">
      <c r="A2768" t="str">
        <f>"95-042-0-128"</f>
        <v>95-042-0-128</v>
      </c>
      <c r="B2768" t="s">
        <v>132</v>
      </c>
    </row>
    <row r="2769" spans="1:2" x14ac:dyDescent="0.3">
      <c r="A2769" t="str">
        <f>"950-CFG"</f>
        <v>950-CFG</v>
      </c>
      <c r="B2769" t="s">
        <v>1360</v>
      </c>
    </row>
    <row r="2770" spans="1:2" x14ac:dyDescent="0.3">
      <c r="A2770" t="str">
        <f>"951400"</f>
        <v>951400</v>
      </c>
      <c r="B2770" t="s">
        <v>2461</v>
      </c>
    </row>
    <row r="2771" spans="1:2" x14ac:dyDescent="0.3">
      <c r="A2771" t="str">
        <f>"951401"</f>
        <v>951401</v>
      </c>
      <c r="B2771" t="s">
        <v>151</v>
      </c>
    </row>
    <row r="2772" spans="1:2" x14ac:dyDescent="0.3">
      <c r="A2772" t="str">
        <f>"951437"</f>
        <v>951437</v>
      </c>
      <c r="B2772" t="s">
        <v>1713</v>
      </c>
    </row>
    <row r="2773" spans="1:2" x14ac:dyDescent="0.3">
      <c r="A2773" t="str">
        <f>"9515M29P03"</f>
        <v>9515M29P03</v>
      </c>
      <c r="B2773" t="s">
        <v>336</v>
      </c>
    </row>
    <row r="2774" spans="1:2" x14ac:dyDescent="0.3">
      <c r="A2774" t="str">
        <f>"951789"</f>
        <v>951789</v>
      </c>
      <c r="B2774" t="s">
        <v>188</v>
      </c>
    </row>
    <row r="2775" spans="1:2" x14ac:dyDescent="0.3">
      <c r="A2775" t="str">
        <f>"9522643"</f>
        <v>9522643</v>
      </c>
      <c r="B2775" t="s">
        <v>3397</v>
      </c>
    </row>
    <row r="2776" spans="1:2" x14ac:dyDescent="0.3">
      <c r="A2776" t="str">
        <f>"9524-6507"</f>
        <v>9524-6507</v>
      </c>
      <c r="B2776" t="s">
        <v>175</v>
      </c>
    </row>
    <row r="2777" spans="1:2" x14ac:dyDescent="0.3">
      <c r="A2777" t="str">
        <f>"9534663"</f>
        <v>9534663</v>
      </c>
      <c r="B2777" t="s">
        <v>188</v>
      </c>
    </row>
    <row r="2778" spans="1:2" x14ac:dyDescent="0.3">
      <c r="A2778" t="str">
        <f>"953541-10"</f>
        <v>953541-10</v>
      </c>
      <c r="B2778" t="s">
        <v>1575</v>
      </c>
    </row>
    <row r="2779" spans="1:2" x14ac:dyDescent="0.3">
      <c r="A2779" t="str">
        <f>"9543555"</f>
        <v>9543555</v>
      </c>
      <c r="B2779" t="s">
        <v>1234</v>
      </c>
    </row>
    <row r="2780" spans="1:2" x14ac:dyDescent="0.3">
      <c r="A2780" t="str">
        <f>"9563K45"</f>
        <v>9563K45</v>
      </c>
      <c r="B2780" t="s">
        <v>129</v>
      </c>
    </row>
    <row r="2781" spans="1:2" x14ac:dyDescent="0.3">
      <c r="A2781" t="str">
        <f>"9599-607-12349"</f>
        <v>9599-607-12349</v>
      </c>
      <c r="B2781" t="s">
        <v>822</v>
      </c>
    </row>
    <row r="2782" spans="1:2" x14ac:dyDescent="0.3">
      <c r="A2782" t="str">
        <f>"9615325040"</f>
        <v>9615325040</v>
      </c>
      <c r="B2782" t="s">
        <v>3287</v>
      </c>
    </row>
    <row r="2783" spans="1:2" x14ac:dyDescent="0.3">
      <c r="A2783" t="str">
        <f>"965-0758-001"</f>
        <v>965-0758-001</v>
      </c>
      <c r="B2783" t="s">
        <v>3906</v>
      </c>
    </row>
    <row r="2784" spans="1:2" x14ac:dyDescent="0.3">
      <c r="A2784" t="str">
        <f>"966290-112"</f>
        <v>966290-112</v>
      </c>
      <c r="B2784" t="s">
        <v>2797</v>
      </c>
    </row>
    <row r="2785" spans="1:2" x14ac:dyDescent="0.3">
      <c r="A2785" t="str">
        <f>"9673-3-3"</f>
        <v>9673-3-3</v>
      </c>
      <c r="B2785" t="s">
        <v>2912</v>
      </c>
    </row>
    <row r="2786" spans="1:2" x14ac:dyDescent="0.3">
      <c r="A2786" t="str">
        <f>"97-123"</f>
        <v>97-123</v>
      </c>
      <c r="B2786" t="s">
        <v>3029</v>
      </c>
    </row>
    <row r="2787" spans="1:2" x14ac:dyDescent="0.3">
      <c r="A2787" t="str">
        <f>"97-125"</f>
        <v>97-125</v>
      </c>
      <c r="B2787" t="s">
        <v>3030</v>
      </c>
    </row>
    <row r="2788" spans="1:2" x14ac:dyDescent="0.3">
      <c r="A2788" t="str">
        <f>"971-903X06-WRN"</f>
        <v>971-903X06-WRN</v>
      </c>
    </row>
    <row r="2789" spans="1:2" x14ac:dyDescent="0.3">
      <c r="A2789" t="str">
        <f>"971-904X06-WGN"</f>
        <v>971-904X06-WGN</v>
      </c>
    </row>
    <row r="2790" spans="1:2" x14ac:dyDescent="0.3">
      <c r="A2790" t="str">
        <f>"971-910X06-WWN"</f>
        <v>971-910X06-WWN</v>
      </c>
    </row>
    <row r="2791" spans="1:2" x14ac:dyDescent="0.3">
      <c r="A2791" t="str">
        <f>"971-970A06-WYN"</f>
        <v>971-970A06-WYN</v>
      </c>
    </row>
    <row r="2792" spans="1:2" x14ac:dyDescent="0.3">
      <c r="A2792" t="str">
        <f>"971-971T06-WAN"</f>
        <v>971-971T06-WAN</v>
      </c>
    </row>
    <row r="2793" spans="1:2" x14ac:dyDescent="0.3">
      <c r="A2793" t="str">
        <f>"974353-4"</f>
        <v>974353-4</v>
      </c>
      <c r="B2793" t="s">
        <v>151</v>
      </c>
    </row>
    <row r="2794" spans="1:2" x14ac:dyDescent="0.3">
      <c r="A2794" t="str">
        <f>"9750W0380-1"</f>
        <v>9750W0380-1</v>
      </c>
      <c r="B2794" t="s">
        <v>181</v>
      </c>
    </row>
    <row r="2795" spans="1:2" x14ac:dyDescent="0.3">
      <c r="A2795" t="str">
        <f>"9750W0390-5"</f>
        <v>9750W0390-5</v>
      </c>
      <c r="B2795" t="s">
        <v>3851</v>
      </c>
    </row>
    <row r="2796" spans="1:2" x14ac:dyDescent="0.3">
      <c r="A2796" t="str">
        <f>"976J498-2"</f>
        <v>976J498-2</v>
      </c>
      <c r="B2796" t="s">
        <v>868</v>
      </c>
    </row>
    <row r="2797" spans="1:2" x14ac:dyDescent="0.3">
      <c r="A2797" t="str">
        <f>"98-0921"</f>
        <v>98-0921</v>
      </c>
      <c r="B2797" t="s">
        <v>3708</v>
      </c>
    </row>
    <row r="2798" spans="1:2" x14ac:dyDescent="0.3">
      <c r="A2798" t="str">
        <f>"9858519-1"</f>
        <v>9858519-1</v>
      </c>
      <c r="B2798" t="s">
        <v>2268</v>
      </c>
    </row>
    <row r="2799" spans="1:2" x14ac:dyDescent="0.3">
      <c r="A2799" t="str">
        <f>"9891202102"</f>
        <v>9891202102</v>
      </c>
      <c r="B2799" t="s">
        <v>4706</v>
      </c>
    </row>
    <row r="2800" spans="1:2" x14ac:dyDescent="0.3">
      <c r="A2800" t="str">
        <f>"9896202101"</f>
        <v>9896202101</v>
      </c>
      <c r="B2800" t="s">
        <v>3061</v>
      </c>
    </row>
    <row r="2801" spans="1:2" x14ac:dyDescent="0.3">
      <c r="A2801" t="str">
        <f>"9899960202"</f>
        <v>9899960202</v>
      </c>
      <c r="B2801" t="s">
        <v>3056</v>
      </c>
    </row>
    <row r="2802" spans="1:2" x14ac:dyDescent="0.3">
      <c r="A2802" t="str">
        <f>"9902-2-162035"</f>
        <v>9902-2-162035</v>
      </c>
      <c r="B2802" t="s">
        <v>314</v>
      </c>
    </row>
    <row r="2803" spans="1:2" x14ac:dyDescent="0.3">
      <c r="A2803" t="str">
        <f>"9910591-11"</f>
        <v>9910591-11</v>
      </c>
      <c r="B2803" t="s">
        <v>2320</v>
      </c>
    </row>
    <row r="2804" spans="1:2" x14ac:dyDescent="0.3">
      <c r="A2804" t="str">
        <f>"9912372-1"</f>
        <v>9912372-1</v>
      </c>
      <c r="B2804" t="s">
        <v>635</v>
      </c>
    </row>
    <row r="2805" spans="1:2" x14ac:dyDescent="0.3">
      <c r="A2805" t="str">
        <f>"9912372-7"</f>
        <v>9912372-7</v>
      </c>
      <c r="B2805" t="s">
        <v>170</v>
      </c>
    </row>
    <row r="2806" spans="1:2" x14ac:dyDescent="0.3">
      <c r="A2806" t="str">
        <f>"9912660-14"</f>
        <v>9912660-14</v>
      </c>
      <c r="B2806" t="s">
        <v>4171</v>
      </c>
    </row>
    <row r="2807" spans="1:2" x14ac:dyDescent="0.3">
      <c r="A2807" t="str">
        <f>"9916-3-162035"</f>
        <v>9916-3-162035</v>
      </c>
      <c r="B2807" t="s">
        <v>314</v>
      </c>
    </row>
    <row r="2808" spans="1:2" x14ac:dyDescent="0.3">
      <c r="A2808" t="str">
        <f>"9916-35-AHT"</f>
        <v>9916-35-AHT</v>
      </c>
      <c r="B2808" t="s">
        <v>314</v>
      </c>
    </row>
    <row r="2809" spans="1:2" x14ac:dyDescent="0.3">
      <c r="A2809" t="str">
        <f>"99-2642"</f>
        <v>99-2642</v>
      </c>
      <c r="B2809" t="s">
        <v>2775</v>
      </c>
    </row>
    <row r="2810" spans="1:2" x14ac:dyDescent="0.3">
      <c r="A2810" t="str">
        <f>"99-2643"</f>
        <v>99-2643</v>
      </c>
      <c r="B2810" t="s">
        <v>2775</v>
      </c>
    </row>
    <row r="2811" spans="1:2" x14ac:dyDescent="0.3">
      <c r="A2811" t="str">
        <f>"9954100-8"</f>
        <v>9954100-8</v>
      </c>
      <c r="B2811" t="s">
        <v>2321</v>
      </c>
    </row>
    <row r="2812" spans="1:2" x14ac:dyDescent="0.3">
      <c r="A2812" t="str">
        <f>"997-0006"</f>
        <v>997-0006</v>
      </c>
      <c r="B2812" t="s">
        <v>13</v>
      </c>
    </row>
    <row r="2813" spans="1:2" x14ac:dyDescent="0.3">
      <c r="A2813" t="str">
        <f>"997-0133"</f>
        <v>997-0133</v>
      </c>
      <c r="B2813" t="s">
        <v>13</v>
      </c>
    </row>
    <row r="2814" spans="1:2" x14ac:dyDescent="0.3">
      <c r="A2814" t="s">
        <v>4355</v>
      </c>
      <c r="B2814" t="s">
        <v>4356</v>
      </c>
    </row>
    <row r="2815" spans="1:2" x14ac:dyDescent="0.3">
      <c r="A2815" t="str">
        <f>"99N10-01A1"</f>
        <v>99N10-01A1</v>
      </c>
      <c r="B2815" t="s">
        <v>246</v>
      </c>
    </row>
    <row r="2816" spans="1:2" x14ac:dyDescent="0.3">
      <c r="A2816" t="str">
        <f>"99R10-01A1"</f>
        <v>99R10-01A1</v>
      </c>
      <c r="B2816" t="s">
        <v>1851</v>
      </c>
    </row>
    <row r="2817" spans="1:2" x14ac:dyDescent="0.3">
      <c r="A2817" t="str">
        <f>"9EL407442-21"</f>
        <v>9EL407442-21</v>
      </c>
      <c r="B2817" t="s">
        <v>489</v>
      </c>
    </row>
    <row r="2818" spans="1:2" x14ac:dyDescent="0.3">
      <c r="A2818" t="str">
        <f>"9EL408423-65"</f>
        <v>9EL408423-65</v>
      </c>
      <c r="B2818" t="s">
        <v>2955</v>
      </c>
    </row>
    <row r="2819" spans="1:2" x14ac:dyDescent="0.3">
      <c r="A2819" t="str">
        <f>"9EL411135-05"</f>
        <v>9EL411135-05</v>
      </c>
      <c r="B2819" t="s">
        <v>2955</v>
      </c>
    </row>
    <row r="2820" spans="1:2" x14ac:dyDescent="0.3">
      <c r="A2820" t="str">
        <f>"9FF402549-05"</f>
        <v>9FF402549-05</v>
      </c>
      <c r="B2820" t="s">
        <v>2667</v>
      </c>
    </row>
    <row r="2821" spans="1:2" x14ac:dyDescent="0.3">
      <c r="A2821" t="str">
        <f>"9ML401427-00"</f>
        <v>9ML401427-00</v>
      </c>
      <c r="B2821" t="s">
        <v>133</v>
      </c>
    </row>
    <row r="2822" spans="1:2" x14ac:dyDescent="0.3">
      <c r="A2822" t="str">
        <f>"9ML403134-00"</f>
        <v>9ML403134-00</v>
      </c>
      <c r="B2822" t="s">
        <v>4051</v>
      </c>
    </row>
    <row r="2823" spans="1:2" x14ac:dyDescent="0.3">
      <c r="A2823" t="str">
        <f>"9ML404267-00"</f>
        <v>9ML404267-00</v>
      </c>
      <c r="B2823" t="s">
        <v>139</v>
      </c>
    </row>
    <row r="2824" spans="1:2" x14ac:dyDescent="0.3">
      <c r="A2824" t="str">
        <f>"9ML404481-01"</f>
        <v>9ML404481-01</v>
      </c>
      <c r="B2824" t="s">
        <v>487</v>
      </c>
    </row>
    <row r="2825" spans="1:2" x14ac:dyDescent="0.3">
      <c r="A2825" t="str">
        <f>"9ML412668-00"</f>
        <v>9ML412668-00</v>
      </c>
      <c r="B2825" t="s">
        <v>133</v>
      </c>
    </row>
    <row r="2826" spans="1:2" x14ac:dyDescent="0.3">
      <c r="A2826" t="str">
        <f>"9MS404701-02"</f>
        <v>9MS404701-02</v>
      </c>
      <c r="B2826" t="s">
        <v>504</v>
      </c>
    </row>
    <row r="2827" spans="1:2" x14ac:dyDescent="0.3">
      <c r="A2827" t="str">
        <f>"9SK406361-01"</f>
        <v>9SK406361-01</v>
      </c>
      <c r="B2827" t="s">
        <v>470</v>
      </c>
    </row>
    <row r="2828" spans="1:2" x14ac:dyDescent="0.3">
      <c r="A2828" t="str">
        <f>"9XB405261-00"</f>
        <v>9XB405261-00</v>
      </c>
      <c r="B2828" t="s">
        <v>1639</v>
      </c>
    </row>
    <row r="2829" spans="1:2" x14ac:dyDescent="0.3">
      <c r="A2829" t="str">
        <f>"9YY24427"</f>
        <v>9YY24427</v>
      </c>
      <c r="B2829" t="s">
        <v>13</v>
      </c>
    </row>
    <row r="2830" spans="1:2" x14ac:dyDescent="0.3">
      <c r="A2830" t="s">
        <v>3859</v>
      </c>
      <c r="B2830" t="s">
        <v>3277</v>
      </c>
    </row>
    <row r="2831" spans="1:2" x14ac:dyDescent="0.3">
      <c r="A2831" t="s">
        <v>1732</v>
      </c>
      <c r="B2831" t="s">
        <v>353</v>
      </c>
    </row>
    <row r="2832" spans="1:2" x14ac:dyDescent="0.3">
      <c r="A2832" t="s">
        <v>3312</v>
      </c>
      <c r="B2832" t="s">
        <v>3313</v>
      </c>
    </row>
    <row r="2833" spans="1:2" x14ac:dyDescent="0.3">
      <c r="A2833" t="s">
        <v>3418</v>
      </c>
      <c r="B2833" t="s">
        <v>13</v>
      </c>
    </row>
    <row r="2834" spans="1:2" x14ac:dyDescent="0.3">
      <c r="A2834" t="s">
        <v>1601</v>
      </c>
      <c r="B2834" t="s">
        <v>1602</v>
      </c>
    </row>
    <row r="2835" spans="1:2" x14ac:dyDescent="0.3">
      <c r="A2835" t="s">
        <v>4695</v>
      </c>
      <c r="B2835" t="s">
        <v>4696</v>
      </c>
    </row>
    <row r="2836" spans="1:2" x14ac:dyDescent="0.3">
      <c r="A2836" t="s">
        <v>3095</v>
      </c>
      <c r="B2836" t="s">
        <v>133</v>
      </c>
    </row>
    <row r="2837" spans="1:2" x14ac:dyDescent="0.3">
      <c r="A2837" t="s">
        <v>2883</v>
      </c>
      <c r="B2837" t="s">
        <v>11</v>
      </c>
    </row>
    <row r="2838" spans="1:2" x14ac:dyDescent="0.3">
      <c r="A2838" t="s">
        <v>3385</v>
      </c>
      <c r="B2838" t="s">
        <v>3386</v>
      </c>
    </row>
    <row r="2839" spans="1:2" x14ac:dyDescent="0.3">
      <c r="A2839" t="s">
        <v>212</v>
      </c>
      <c r="B2839" t="s">
        <v>119</v>
      </c>
    </row>
    <row r="2840" spans="1:2" x14ac:dyDescent="0.3">
      <c r="A2840" t="s">
        <v>3090</v>
      </c>
      <c r="B2840" t="s">
        <v>154</v>
      </c>
    </row>
    <row r="2841" spans="1:2" x14ac:dyDescent="0.3">
      <c r="A2841" t="s">
        <v>2672</v>
      </c>
      <c r="B2841" t="s">
        <v>2673</v>
      </c>
    </row>
    <row r="2842" spans="1:2" x14ac:dyDescent="0.3">
      <c r="A2842" t="s">
        <v>2688</v>
      </c>
      <c r="B2842" t="s">
        <v>133</v>
      </c>
    </row>
    <row r="2843" spans="1:2" x14ac:dyDescent="0.3">
      <c r="A2843" t="s">
        <v>2689</v>
      </c>
      <c r="B2843" t="s">
        <v>133</v>
      </c>
    </row>
    <row r="2844" spans="1:2" x14ac:dyDescent="0.3">
      <c r="A2844" t="s">
        <v>3156</v>
      </c>
      <c r="B2844" t="s">
        <v>175</v>
      </c>
    </row>
    <row r="2845" spans="1:2" x14ac:dyDescent="0.3">
      <c r="A2845" t="s">
        <v>4602</v>
      </c>
      <c r="B2845" t="s">
        <v>635</v>
      </c>
    </row>
    <row r="2846" spans="1:2" x14ac:dyDescent="0.3">
      <c r="A2846" t="s">
        <v>3809</v>
      </c>
      <c r="B2846" t="s">
        <v>3810</v>
      </c>
    </row>
    <row r="2847" spans="1:2" x14ac:dyDescent="0.3">
      <c r="A2847" t="s">
        <v>3811</v>
      </c>
      <c r="B2847" t="s">
        <v>3810</v>
      </c>
    </row>
    <row r="2848" spans="1:2" x14ac:dyDescent="0.3">
      <c r="A2848" t="s">
        <v>3812</v>
      </c>
      <c r="B2848" t="s">
        <v>3810</v>
      </c>
    </row>
    <row r="2849" spans="1:2" x14ac:dyDescent="0.3">
      <c r="A2849" t="s">
        <v>4767</v>
      </c>
      <c r="B2849" t="s">
        <v>139</v>
      </c>
    </row>
    <row r="2850" spans="1:2" x14ac:dyDescent="0.3">
      <c r="A2850" t="s">
        <v>3995</v>
      </c>
      <c r="B2850" t="s">
        <v>22</v>
      </c>
    </row>
    <row r="2851" spans="1:2" x14ac:dyDescent="0.3">
      <c r="A2851" t="s">
        <v>3918</v>
      </c>
      <c r="B2851" t="s">
        <v>116</v>
      </c>
    </row>
    <row r="2852" spans="1:2" x14ac:dyDescent="0.3">
      <c r="A2852" t="s">
        <v>2719</v>
      </c>
      <c r="B2852" t="s">
        <v>119</v>
      </c>
    </row>
    <row r="2853" spans="1:2" x14ac:dyDescent="0.3">
      <c r="A2853" t="s">
        <v>2104</v>
      </c>
      <c r="B2853" t="s">
        <v>119</v>
      </c>
    </row>
    <row r="2854" spans="1:2" x14ac:dyDescent="0.3">
      <c r="A2854" t="s">
        <v>2103</v>
      </c>
      <c r="B2854" t="s">
        <v>119</v>
      </c>
    </row>
    <row r="2855" spans="1:2" x14ac:dyDescent="0.3">
      <c r="A2855" t="s">
        <v>2764</v>
      </c>
      <c r="B2855" t="s">
        <v>2616</v>
      </c>
    </row>
    <row r="2856" spans="1:2" x14ac:dyDescent="0.3">
      <c r="A2856" t="s">
        <v>3908</v>
      </c>
      <c r="B2856" t="s">
        <v>475</v>
      </c>
    </row>
    <row r="2857" spans="1:2" x14ac:dyDescent="0.3">
      <c r="A2857" t="s">
        <v>2481</v>
      </c>
      <c r="B2857" t="s">
        <v>2482</v>
      </c>
    </row>
    <row r="2858" spans="1:2" x14ac:dyDescent="0.3">
      <c r="A2858" t="s">
        <v>3093</v>
      </c>
      <c r="B2858" t="s">
        <v>481</v>
      </c>
    </row>
    <row r="2859" spans="1:2" x14ac:dyDescent="0.3">
      <c r="A2859" t="s">
        <v>4573</v>
      </c>
      <c r="B2859" t="s">
        <v>4574</v>
      </c>
    </row>
    <row r="2860" spans="1:2" x14ac:dyDescent="0.3">
      <c r="A2860" t="s">
        <v>3157</v>
      </c>
      <c r="B2860" t="s">
        <v>494</v>
      </c>
    </row>
    <row r="2861" spans="1:2" x14ac:dyDescent="0.3">
      <c r="A2861" t="s">
        <v>4813</v>
      </c>
      <c r="B2861" t="s">
        <v>475</v>
      </c>
    </row>
    <row r="2862" spans="1:2" x14ac:dyDescent="0.3">
      <c r="A2862" t="s">
        <v>3092</v>
      </c>
      <c r="B2862" t="s">
        <v>139</v>
      </c>
    </row>
    <row r="2863" spans="1:2" x14ac:dyDescent="0.3">
      <c r="A2863" t="s">
        <v>3005</v>
      </c>
      <c r="B2863" t="s">
        <v>3006</v>
      </c>
    </row>
    <row r="2864" spans="1:2" x14ac:dyDescent="0.3">
      <c r="A2864" t="s">
        <v>2896</v>
      </c>
      <c r="B2864" t="s">
        <v>2893</v>
      </c>
    </row>
    <row r="2865" spans="1:2" x14ac:dyDescent="0.3">
      <c r="A2865" t="s">
        <v>2892</v>
      </c>
      <c r="B2865" t="s">
        <v>2893</v>
      </c>
    </row>
    <row r="2866" spans="1:2" x14ac:dyDescent="0.3">
      <c r="A2866" t="s">
        <v>3091</v>
      </c>
      <c r="B2866" t="s">
        <v>139</v>
      </c>
    </row>
    <row r="2867" spans="1:2" x14ac:dyDescent="0.3">
      <c r="A2867" t="s">
        <v>2894</v>
      </c>
      <c r="B2867" t="s">
        <v>2777</v>
      </c>
    </row>
    <row r="2868" spans="1:2" x14ac:dyDescent="0.3">
      <c r="A2868" t="s">
        <v>3186</v>
      </c>
      <c r="B2868" t="s">
        <v>3187</v>
      </c>
    </row>
    <row r="2869" spans="1:2" x14ac:dyDescent="0.3">
      <c r="A2869" t="s">
        <v>2760</v>
      </c>
      <c r="B2869" t="s">
        <v>2761</v>
      </c>
    </row>
    <row r="2870" spans="1:2" x14ac:dyDescent="0.3">
      <c r="A2870" t="s">
        <v>3994</v>
      </c>
      <c r="B2870" t="s">
        <v>1900</v>
      </c>
    </row>
    <row r="2871" spans="1:2" x14ac:dyDescent="0.3">
      <c r="A2871" t="s">
        <v>2762</v>
      </c>
      <c r="B2871" t="s">
        <v>2763</v>
      </c>
    </row>
    <row r="2872" spans="1:2" x14ac:dyDescent="0.3">
      <c r="A2872" t="s">
        <v>3094</v>
      </c>
      <c r="B2872" t="s">
        <v>133</v>
      </c>
    </row>
    <row r="2873" spans="1:2" x14ac:dyDescent="0.3">
      <c r="A2873" t="s">
        <v>409</v>
      </c>
      <c r="B2873" t="s">
        <v>13</v>
      </c>
    </row>
    <row r="2874" spans="1:2" x14ac:dyDescent="0.3">
      <c r="A2874" t="s">
        <v>2322</v>
      </c>
      <c r="B2874" t="s">
        <v>353</v>
      </c>
    </row>
    <row r="2875" spans="1:2" x14ac:dyDescent="0.3">
      <c r="A2875" t="s">
        <v>407</v>
      </c>
      <c r="B2875" t="s">
        <v>11</v>
      </c>
    </row>
    <row r="2876" spans="1:2" x14ac:dyDescent="0.3">
      <c r="A2876" t="s">
        <v>2025</v>
      </c>
      <c r="B2876" t="s">
        <v>119</v>
      </c>
    </row>
    <row r="2877" spans="1:2" x14ac:dyDescent="0.3">
      <c r="A2877" t="s">
        <v>2107</v>
      </c>
      <c r="B2877" t="s">
        <v>2108</v>
      </c>
    </row>
    <row r="2878" spans="1:2" x14ac:dyDescent="0.3">
      <c r="A2878" t="s">
        <v>2895</v>
      </c>
      <c r="B2878" t="s">
        <v>2893</v>
      </c>
    </row>
    <row r="2879" spans="1:2" x14ac:dyDescent="0.3">
      <c r="A2879" t="s">
        <v>3283</v>
      </c>
      <c r="B2879" t="s">
        <v>3284</v>
      </c>
    </row>
    <row r="2880" spans="1:2" x14ac:dyDescent="0.3">
      <c r="A2880" t="s">
        <v>1702</v>
      </c>
      <c r="B2880" t="s">
        <v>1703</v>
      </c>
    </row>
    <row r="2881" spans="1:2" x14ac:dyDescent="0.3">
      <c r="A2881" t="s">
        <v>4428</v>
      </c>
      <c r="B2881" t="s">
        <v>4429</v>
      </c>
    </row>
    <row r="2882" spans="1:2" x14ac:dyDescent="0.3">
      <c r="A2882" t="s">
        <v>3776</v>
      </c>
      <c r="B2882" t="s">
        <v>3777</v>
      </c>
    </row>
    <row r="2883" spans="1:2" x14ac:dyDescent="0.3">
      <c r="A2883" t="s">
        <v>2969</v>
      </c>
      <c r="B2883" t="s">
        <v>2970</v>
      </c>
    </row>
    <row r="2884" spans="1:2" x14ac:dyDescent="0.3">
      <c r="A2884" t="s">
        <v>2867</v>
      </c>
      <c r="B2884" t="s">
        <v>2868</v>
      </c>
    </row>
    <row r="2885" spans="1:2" x14ac:dyDescent="0.3">
      <c r="A2885" t="s">
        <v>2395</v>
      </c>
      <c r="B2885" t="s">
        <v>2396</v>
      </c>
    </row>
    <row r="2886" spans="1:2" x14ac:dyDescent="0.3">
      <c r="A2886" t="s">
        <v>440</v>
      </c>
      <c r="B2886" t="s">
        <v>441</v>
      </c>
    </row>
    <row r="2887" spans="1:2" x14ac:dyDescent="0.3">
      <c r="A2887" t="s">
        <v>2269</v>
      </c>
      <c r="B2887" t="s">
        <v>2270</v>
      </c>
    </row>
    <row r="2888" spans="1:2" x14ac:dyDescent="0.3">
      <c r="A2888" t="s">
        <v>921</v>
      </c>
      <c r="B2888" t="s">
        <v>922</v>
      </c>
    </row>
    <row r="2889" spans="1:2" x14ac:dyDescent="0.3">
      <c r="A2889" t="s">
        <v>920</v>
      </c>
      <c r="B2889" t="s">
        <v>366</v>
      </c>
    </row>
    <row r="2890" spans="1:2" x14ac:dyDescent="0.3">
      <c r="A2890" t="s">
        <v>134</v>
      </c>
      <c r="B2890" t="s">
        <v>135</v>
      </c>
    </row>
    <row r="2891" spans="1:2" x14ac:dyDescent="0.3">
      <c r="A2891" t="s">
        <v>2889</v>
      </c>
      <c r="B2891" t="s">
        <v>13</v>
      </c>
    </row>
    <row r="2892" spans="1:2" x14ac:dyDescent="0.3">
      <c r="A2892" t="s">
        <v>2975</v>
      </c>
      <c r="B2892" t="s">
        <v>13</v>
      </c>
    </row>
    <row r="2893" spans="1:2" x14ac:dyDescent="0.3">
      <c r="A2893" t="s">
        <v>759</v>
      </c>
      <c r="B2893" t="s">
        <v>13</v>
      </c>
    </row>
    <row r="2894" spans="1:2" x14ac:dyDescent="0.3">
      <c r="A2894" t="s">
        <v>3420</v>
      </c>
      <c r="B2894" t="s">
        <v>13</v>
      </c>
    </row>
    <row r="2895" spans="1:2" x14ac:dyDescent="0.3">
      <c r="A2895" t="s">
        <v>2642</v>
      </c>
      <c r="B2895" t="s">
        <v>2643</v>
      </c>
    </row>
    <row r="2896" spans="1:2" x14ac:dyDescent="0.3">
      <c r="A2896" t="s">
        <v>2644</v>
      </c>
      <c r="B2896" t="s">
        <v>2465</v>
      </c>
    </row>
    <row r="2897" spans="1:2" x14ac:dyDescent="0.3">
      <c r="A2897" t="s">
        <v>3073</v>
      </c>
      <c r="B2897" t="s">
        <v>18</v>
      </c>
    </row>
    <row r="2898" spans="1:2" x14ac:dyDescent="0.3">
      <c r="A2898" t="s">
        <v>3807</v>
      </c>
      <c r="B2898" t="s">
        <v>3808</v>
      </c>
    </row>
    <row r="2899" spans="1:2" x14ac:dyDescent="0.3">
      <c r="A2899" t="s">
        <v>2545</v>
      </c>
    </row>
    <row r="2900" spans="1:2" x14ac:dyDescent="0.3">
      <c r="A2900" t="s">
        <v>2580</v>
      </c>
      <c r="B2900" t="s">
        <v>568</v>
      </c>
    </row>
    <row r="2901" spans="1:2" x14ac:dyDescent="0.3">
      <c r="A2901" t="s">
        <v>3279</v>
      </c>
      <c r="B2901" t="s">
        <v>629</v>
      </c>
    </row>
    <row r="2902" spans="1:2" x14ac:dyDescent="0.3">
      <c r="A2902" t="s">
        <v>3169</v>
      </c>
      <c r="B2902" t="s">
        <v>3064</v>
      </c>
    </row>
    <row r="2903" spans="1:2" x14ac:dyDescent="0.3">
      <c r="A2903" t="s">
        <v>3161</v>
      </c>
      <c r="B2903" t="s">
        <v>3162</v>
      </c>
    </row>
    <row r="2904" spans="1:2" x14ac:dyDescent="0.3">
      <c r="A2904" t="s">
        <v>3037</v>
      </c>
      <c r="B2904" t="s">
        <v>3038</v>
      </c>
    </row>
    <row r="2905" spans="1:2" x14ac:dyDescent="0.3">
      <c r="A2905" t="s">
        <v>2910</v>
      </c>
      <c r="B2905" t="s">
        <v>2911</v>
      </c>
    </row>
    <row r="2906" spans="1:2" x14ac:dyDescent="0.3">
      <c r="A2906" t="s">
        <v>3240</v>
      </c>
      <c r="B2906" t="s">
        <v>2911</v>
      </c>
    </row>
    <row r="2907" spans="1:2" x14ac:dyDescent="0.3">
      <c r="A2907" t="s">
        <v>3041</v>
      </c>
      <c r="B2907" t="s">
        <v>188</v>
      </c>
    </row>
    <row r="2908" spans="1:2" x14ac:dyDescent="0.3">
      <c r="A2908" t="s">
        <v>3069</v>
      </c>
      <c r="B2908" t="s">
        <v>184</v>
      </c>
    </row>
    <row r="2909" spans="1:2" x14ac:dyDescent="0.3">
      <c r="A2909" t="s">
        <v>3163</v>
      </c>
      <c r="B2909" t="s">
        <v>3067</v>
      </c>
    </row>
    <row r="2910" spans="1:2" x14ac:dyDescent="0.3">
      <c r="A2910" t="s">
        <v>3068</v>
      </c>
      <c r="B2910" t="s">
        <v>363</v>
      </c>
    </row>
    <row r="2911" spans="1:2" x14ac:dyDescent="0.3">
      <c r="A2911" t="s">
        <v>3050</v>
      </c>
      <c r="B2911" t="s">
        <v>246</v>
      </c>
    </row>
    <row r="2912" spans="1:2" x14ac:dyDescent="0.3">
      <c r="A2912" t="s">
        <v>3042</v>
      </c>
      <c r="B2912" t="s">
        <v>246</v>
      </c>
    </row>
    <row r="2913" spans="1:2" x14ac:dyDescent="0.3">
      <c r="A2913" t="s">
        <v>3118</v>
      </c>
      <c r="B2913" t="s">
        <v>3119</v>
      </c>
    </row>
    <row r="2914" spans="1:2" x14ac:dyDescent="0.3">
      <c r="A2914" t="s">
        <v>3039</v>
      </c>
      <c r="B2914" t="s">
        <v>1713</v>
      </c>
    </row>
    <row r="2915" spans="1:2" x14ac:dyDescent="0.3">
      <c r="A2915" t="s">
        <v>3164</v>
      </c>
      <c r="B2915" t="s">
        <v>3067</v>
      </c>
    </row>
    <row r="2916" spans="1:2" x14ac:dyDescent="0.3">
      <c r="A2916" t="s">
        <v>3141</v>
      </c>
      <c r="B2916" t="s">
        <v>3142</v>
      </c>
    </row>
    <row r="2917" spans="1:2" x14ac:dyDescent="0.3">
      <c r="A2917" t="s">
        <v>3048</v>
      </c>
      <c r="B2917" t="s">
        <v>3049</v>
      </c>
    </row>
    <row r="2918" spans="1:2" x14ac:dyDescent="0.3">
      <c r="A2918" t="s">
        <v>3238</v>
      </c>
      <c r="B2918" t="s">
        <v>3049</v>
      </c>
    </row>
    <row r="2919" spans="1:2" x14ac:dyDescent="0.3">
      <c r="A2919" t="s">
        <v>3074</v>
      </c>
      <c r="B2919" t="s">
        <v>3075</v>
      </c>
    </row>
    <row r="2920" spans="1:2" x14ac:dyDescent="0.3">
      <c r="A2920" t="s">
        <v>3133</v>
      </c>
      <c r="B2920" t="s">
        <v>3134</v>
      </c>
    </row>
    <row r="2921" spans="1:2" x14ac:dyDescent="0.3">
      <c r="A2921" t="s">
        <v>3982</v>
      </c>
      <c r="B2921" t="s">
        <v>3983</v>
      </c>
    </row>
    <row r="2922" spans="1:2" x14ac:dyDescent="0.3">
      <c r="A2922" t="s">
        <v>3632</v>
      </c>
      <c r="B2922" t="s">
        <v>11</v>
      </c>
    </row>
    <row r="2923" spans="1:2" x14ac:dyDescent="0.3">
      <c r="A2923" t="s">
        <v>2500</v>
      </c>
      <c r="B2923" t="s">
        <v>11</v>
      </c>
    </row>
    <row r="2924" spans="1:2" x14ac:dyDescent="0.3">
      <c r="A2924" t="s">
        <v>872</v>
      </c>
      <c r="B2924" t="s">
        <v>873</v>
      </c>
    </row>
    <row r="2925" spans="1:2" x14ac:dyDescent="0.3">
      <c r="A2925" t="s">
        <v>833</v>
      </c>
      <c r="B2925" t="s">
        <v>834</v>
      </c>
    </row>
    <row r="2926" spans="1:2" x14ac:dyDescent="0.3">
      <c r="A2926" t="s">
        <v>3145</v>
      </c>
      <c r="B2926" t="s">
        <v>3146</v>
      </c>
    </row>
    <row r="2927" spans="1:2" x14ac:dyDescent="0.3">
      <c r="A2927" t="s">
        <v>3147</v>
      </c>
      <c r="B2927" t="s">
        <v>3146</v>
      </c>
    </row>
    <row r="2928" spans="1:2" x14ac:dyDescent="0.3">
      <c r="A2928" t="s">
        <v>3065</v>
      </c>
      <c r="B2928" t="s">
        <v>3066</v>
      </c>
    </row>
    <row r="2929" spans="1:2" x14ac:dyDescent="0.3">
      <c r="A2929" t="s">
        <v>1407</v>
      </c>
      <c r="B2929" t="s">
        <v>1408</v>
      </c>
    </row>
    <row r="2930" spans="1:2" x14ac:dyDescent="0.3">
      <c r="A2930" t="s">
        <v>1657</v>
      </c>
      <c r="B2930" t="s">
        <v>1658</v>
      </c>
    </row>
    <row r="2931" spans="1:2" x14ac:dyDescent="0.3">
      <c r="A2931" t="s">
        <v>4564</v>
      </c>
      <c r="B2931" t="s">
        <v>136</v>
      </c>
    </row>
    <row r="2932" spans="1:2" x14ac:dyDescent="0.3">
      <c r="A2932" t="s">
        <v>976</v>
      </c>
      <c r="B2932" t="s">
        <v>977</v>
      </c>
    </row>
    <row r="2933" spans="1:2" x14ac:dyDescent="0.3">
      <c r="A2933" t="s">
        <v>2614</v>
      </c>
      <c r="B2933" t="s">
        <v>18</v>
      </c>
    </row>
    <row r="2934" spans="1:2" x14ac:dyDescent="0.3">
      <c r="A2934" t="s">
        <v>3585</v>
      </c>
      <c r="B2934" t="s">
        <v>336</v>
      </c>
    </row>
    <row r="2935" spans="1:2" x14ac:dyDescent="0.3">
      <c r="A2935" t="s">
        <v>1534</v>
      </c>
      <c r="B2935" t="s">
        <v>1535</v>
      </c>
    </row>
    <row r="2936" spans="1:2" x14ac:dyDescent="0.3">
      <c r="A2936" t="s">
        <v>163</v>
      </c>
      <c r="B2936" t="s">
        <v>119</v>
      </c>
    </row>
    <row r="2937" spans="1:2" x14ac:dyDescent="0.3">
      <c r="A2937" t="s">
        <v>245</v>
      </c>
      <c r="B2937" t="s">
        <v>246</v>
      </c>
    </row>
    <row r="2938" spans="1:2" x14ac:dyDescent="0.3">
      <c r="A2938" t="s">
        <v>891</v>
      </c>
      <c r="B2938" t="s">
        <v>336</v>
      </c>
    </row>
    <row r="2939" spans="1:2" x14ac:dyDescent="0.3">
      <c r="A2939" t="s">
        <v>1115</v>
      </c>
      <c r="B2939" t="s">
        <v>1116</v>
      </c>
    </row>
    <row r="2940" spans="1:2" x14ac:dyDescent="0.3">
      <c r="A2940" t="s">
        <v>809</v>
      </c>
    </row>
    <row r="2941" spans="1:2" x14ac:dyDescent="0.3">
      <c r="A2941" t="s">
        <v>810</v>
      </c>
    </row>
    <row r="2942" spans="1:2" x14ac:dyDescent="0.3">
      <c r="A2942" t="s">
        <v>811</v>
      </c>
      <c r="B2942" t="s">
        <v>812</v>
      </c>
    </row>
    <row r="2943" spans="1:2" x14ac:dyDescent="0.3">
      <c r="A2943" t="s">
        <v>813</v>
      </c>
      <c r="B2943" t="s">
        <v>814</v>
      </c>
    </row>
    <row r="2944" spans="1:2" x14ac:dyDescent="0.3">
      <c r="A2944" t="s">
        <v>3358</v>
      </c>
      <c r="B2944" t="s">
        <v>188</v>
      </c>
    </row>
    <row r="2945" spans="1:2" x14ac:dyDescent="0.3">
      <c r="A2945" t="s">
        <v>3662</v>
      </c>
      <c r="B2945" t="s">
        <v>132</v>
      </c>
    </row>
    <row r="2946" spans="1:2" x14ac:dyDescent="0.3">
      <c r="A2946" t="s">
        <v>3055</v>
      </c>
      <c r="B2946" t="s">
        <v>132</v>
      </c>
    </row>
    <row r="2947" spans="1:2" x14ac:dyDescent="0.3">
      <c r="A2947" t="s">
        <v>3353</v>
      </c>
      <c r="B2947" t="s">
        <v>188</v>
      </c>
    </row>
    <row r="2948" spans="1:2" x14ac:dyDescent="0.3">
      <c r="A2948" t="s">
        <v>3359</v>
      </c>
      <c r="B2948" t="s">
        <v>173</v>
      </c>
    </row>
    <row r="2949" spans="1:2" x14ac:dyDescent="0.3">
      <c r="A2949" t="s">
        <v>2638</v>
      </c>
      <c r="B2949" t="s">
        <v>188</v>
      </c>
    </row>
    <row r="2950" spans="1:2" x14ac:dyDescent="0.3">
      <c r="A2950" t="s">
        <v>1989</v>
      </c>
      <c r="B2950" t="s">
        <v>188</v>
      </c>
    </row>
    <row r="2951" spans="1:2" x14ac:dyDescent="0.3">
      <c r="A2951" t="s">
        <v>3355</v>
      </c>
      <c r="B2951" t="s">
        <v>151</v>
      </c>
    </row>
    <row r="2952" spans="1:2" x14ac:dyDescent="0.3">
      <c r="A2952" t="s">
        <v>3356</v>
      </c>
      <c r="B2952" t="s">
        <v>132</v>
      </c>
    </row>
    <row r="2953" spans="1:2" x14ac:dyDescent="0.3">
      <c r="A2953" t="s">
        <v>1993</v>
      </c>
      <c r="B2953" t="s">
        <v>188</v>
      </c>
    </row>
    <row r="2954" spans="1:2" x14ac:dyDescent="0.3">
      <c r="A2954" t="s">
        <v>3354</v>
      </c>
      <c r="B2954" t="s">
        <v>188</v>
      </c>
    </row>
    <row r="2955" spans="1:2" x14ac:dyDescent="0.3">
      <c r="A2955" t="s">
        <v>1990</v>
      </c>
      <c r="B2955" t="s">
        <v>188</v>
      </c>
    </row>
    <row r="2956" spans="1:2" x14ac:dyDescent="0.3">
      <c r="A2956" t="s">
        <v>2684</v>
      </c>
      <c r="B2956" t="s">
        <v>353</v>
      </c>
    </row>
    <row r="2957" spans="1:2" x14ac:dyDescent="0.3">
      <c r="A2957" t="s">
        <v>3766</v>
      </c>
      <c r="B2957" t="s">
        <v>1414</v>
      </c>
    </row>
    <row r="2958" spans="1:2" x14ac:dyDescent="0.3">
      <c r="A2958" t="s">
        <v>3401</v>
      </c>
      <c r="B2958" t="s">
        <v>3402</v>
      </c>
    </row>
    <row r="2959" spans="1:2" x14ac:dyDescent="0.3">
      <c r="A2959" t="s">
        <v>3381</v>
      </c>
      <c r="B2959" t="s">
        <v>3382</v>
      </c>
    </row>
    <row r="2960" spans="1:2" x14ac:dyDescent="0.3">
      <c r="A2960" t="s">
        <v>3892</v>
      </c>
      <c r="B2960" t="s">
        <v>3893</v>
      </c>
    </row>
    <row r="2961" spans="1:2" x14ac:dyDescent="0.3">
      <c r="A2961" t="s">
        <v>2196</v>
      </c>
      <c r="B2961" t="s">
        <v>132</v>
      </c>
    </row>
    <row r="2962" spans="1:2" x14ac:dyDescent="0.3">
      <c r="A2962" t="s">
        <v>2197</v>
      </c>
      <c r="B2962" t="s">
        <v>132</v>
      </c>
    </row>
    <row r="2963" spans="1:2" x14ac:dyDescent="0.3">
      <c r="A2963" t="s">
        <v>3154</v>
      </c>
      <c r="B2963" t="s">
        <v>132</v>
      </c>
    </row>
    <row r="2964" spans="1:2" x14ac:dyDescent="0.3">
      <c r="A2964" t="s">
        <v>2198</v>
      </c>
      <c r="B2964" t="s">
        <v>132</v>
      </c>
    </row>
    <row r="2965" spans="1:2" x14ac:dyDescent="0.3">
      <c r="A2965" t="s">
        <v>4747</v>
      </c>
      <c r="B2965" t="s">
        <v>132</v>
      </c>
    </row>
    <row r="2966" spans="1:2" x14ac:dyDescent="0.3">
      <c r="A2966" t="s">
        <v>4153</v>
      </c>
      <c r="B2966" t="s">
        <v>132</v>
      </c>
    </row>
    <row r="2967" spans="1:2" x14ac:dyDescent="0.3">
      <c r="A2967" t="s">
        <v>4154</v>
      </c>
      <c r="B2967" t="s">
        <v>132</v>
      </c>
    </row>
    <row r="2968" spans="1:2" x14ac:dyDescent="0.3">
      <c r="A2968" t="s">
        <v>2738</v>
      </c>
      <c r="B2968" t="s">
        <v>132</v>
      </c>
    </row>
    <row r="2969" spans="1:2" x14ac:dyDescent="0.3">
      <c r="A2969" t="s">
        <v>2685</v>
      </c>
      <c r="B2969" t="s">
        <v>132</v>
      </c>
    </row>
    <row r="2970" spans="1:2" x14ac:dyDescent="0.3">
      <c r="A2970" t="s">
        <v>2665</v>
      </c>
      <c r="B2970" t="s">
        <v>132</v>
      </c>
    </row>
    <row r="2971" spans="1:2" x14ac:dyDescent="0.3">
      <c r="A2971" t="s">
        <v>2686</v>
      </c>
      <c r="B2971" t="s">
        <v>132</v>
      </c>
    </row>
    <row r="2972" spans="1:2" x14ac:dyDescent="0.3">
      <c r="A2972" t="s">
        <v>2657</v>
      </c>
      <c r="B2972" t="s">
        <v>897</v>
      </c>
    </row>
    <row r="2973" spans="1:2" x14ac:dyDescent="0.3">
      <c r="A2973" t="s">
        <v>3672</v>
      </c>
      <c r="B2973" t="s">
        <v>3673</v>
      </c>
    </row>
    <row r="2974" spans="1:2" x14ac:dyDescent="0.3">
      <c r="A2974" t="s">
        <v>198</v>
      </c>
      <c r="B2974" t="s">
        <v>161</v>
      </c>
    </row>
    <row r="2975" spans="1:2" x14ac:dyDescent="0.3">
      <c r="A2975" t="s">
        <v>4320</v>
      </c>
      <c r="B2975" t="s">
        <v>4321</v>
      </c>
    </row>
    <row r="2976" spans="1:2" x14ac:dyDescent="0.3">
      <c r="A2976" t="s">
        <v>4810</v>
      </c>
      <c r="B2976" t="s">
        <v>4811</v>
      </c>
    </row>
    <row r="2977" spans="1:2" x14ac:dyDescent="0.3">
      <c r="A2977" t="s">
        <v>2323</v>
      </c>
      <c r="B2977" t="s">
        <v>2324</v>
      </c>
    </row>
    <row r="2978" spans="1:2" x14ac:dyDescent="0.3">
      <c r="A2978" t="s">
        <v>2782</v>
      </c>
      <c r="B2978" t="s">
        <v>2783</v>
      </c>
    </row>
    <row r="2979" spans="1:2" x14ac:dyDescent="0.3">
      <c r="A2979" t="s">
        <v>2930</v>
      </c>
      <c r="B2979" t="s">
        <v>2931</v>
      </c>
    </row>
    <row r="2980" spans="1:2" x14ac:dyDescent="0.3">
      <c r="A2980" t="s">
        <v>3121</v>
      </c>
      <c r="B2980" t="s">
        <v>3122</v>
      </c>
    </row>
    <row r="2981" spans="1:2" x14ac:dyDescent="0.3">
      <c r="A2981" t="s">
        <v>3294</v>
      </c>
      <c r="B2981" t="s">
        <v>18</v>
      </c>
    </row>
    <row r="2982" spans="1:2" x14ac:dyDescent="0.3">
      <c r="A2982" t="s">
        <v>3955</v>
      </c>
      <c r="B2982" t="s">
        <v>568</v>
      </c>
    </row>
    <row r="2983" spans="1:2" x14ac:dyDescent="0.3">
      <c r="A2983" t="s">
        <v>3956</v>
      </c>
      <c r="B2983" t="s">
        <v>568</v>
      </c>
    </row>
    <row r="2984" spans="1:2" x14ac:dyDescent="0.3">
      <c r="A2984" t="s">
        <v>320</v>
      </c>
      <c r="B2984" t="s">
        <v>321</v>
      </c>
    </row>
    <row r="2985" spans="1:2" x14ac:dyDescent="0.3">
      <c r="A2985" t="s">
        <v>760</v>
      </c>
      <c r="B2985" t="s">
        <v>154</v>
      </c>
    </row>
    <row r="2986" spans="1:2" x14ac:dyDescent="0.3">
      <c r="A2986" t="s">
        <v>2940</v>
      </c>
      <c r="B2986" t="s">
        <v>867</v>
      </c>
    </row>
    <row r="2987" spans="1:2" x14ac:dyDescent="0.3">
      <c r="A2987" t="s">
        <v>892</v>
      </c>
      <c r="B2987" t="s">
        <v>893</v>
      </c>
    </row>
    <row r="2988" spans="1:2" x14ac:dyDescent="0.3">
      <c r="A2988" t="s">
        <v>894</v>
      </c>
      <c r="B2988" t="s">
        <v>895</v>
      </c>
    </row>
    <row r="2989" spans="1:2" x14ac:dyDescent="0.3">
      <c r="A2989" t="s">
        <v>896</v>
      </c>
      <c r="B2989" t="s">
        <v>897</v>
      </c>
    </row>
    <row r="2990" spans="1:2" x14ac:dyDescent="0.3">
      <c r="A2990" t="s">
        <v>898</v>
      </c>
      <c r="B2990" t="s">
        <v>893</v>
      </c>
    </row>
    <row r="2991" spans="1:2" x14ac:dyDescent="0.3">
      <c r="A2991" t="s">
        <v>849</v>
      </c>
      <c r="B2991" t="s">
        <v>848</v>
      </c>
    </row>
    <row r="2992" spans="1:2" x14ac:dyDescent="0.3">
      <c r="A2992" t="s">
        <v>847</v>
      </c>
      <c r="B2992" t="s">
        <v>848</v>
      </c>
    </row>
    <row r="2993" spans="1:2" x14ac:dyDescent="0.3">
      <c r="A2993" t="s">
        <v>1028</v>
      </c>
      <c r="B2993" t="s">
        <v>1029</v>
      </c>
    </row>
    <row r="2994" spans="1:2" x14ac:dyDescent="0.3">
      <c r="A2994" t="s">
        <v>1384</v>
      </c>
      <c r="B2994" t="s">
        <v>893</v>
      </c>
    </row>
    <row r="2995" spans="1:2" x14ac:dyDescent="0.3">
      <c r="A2995" t="s">
        <v>1383</v>
      </c>
      <c r="B2995" t="s">
        <v>893</v>
      </c>
    </row>
    <row r="2996" spans="1:2" x14ac:dyDescent="0.3">
      <c r="A2996" t="s">
        <v>4532</v>
      </c>
      <c r="B2996" t="s">
        <v>895</v>
      </c>
    </row>
    <row r="2997" spans="1:2" x14ac:dyDescent="0.3">
      <c r="A2997" t="s">
        <v>547</v>
      </c>
      <c r="B2997" t="s">
        <v>548</v>
      </c>
    </row>
    <row r="2998" spans="1:2" x14ac:dyDescent="0.3">
      <c r="A2998" t="s">
        <v>2546</v>
      </c>
      <c r="B2998" t="s">
        <v>391</v>
      </c>
    </row>
    <row r="2999" spans="1:2" x14ac:dyDescent="0.3">
      <c r="A2999" t="s">
        <v>1201</v>
      </c>
      <c r="B2999" t="s">
        <v>1202</v>
      </c>
    </row>
    <row r="3000" spans="1:2" x14ac:dyDescent="0.3">
      <c r="A3000" t="s">
        <v>742</v>
      </c>
    </row>
    <row r="3001" spans="1:2" x14ac:dyDescent="0.3">
      <c r="A3001" t="s">
        <v>2189</v>
      </c>
      <c r="B3001" t="s">
        <v>119</v>
      </c>
    </row>
    <row r="3002" spans="1:2" x14ac:dyDescent="0.3">
      <c r="A3002" t="s">
        <v>4582</v>
      </c>
      <c r="B3002" t="s">
        <v>4583</v>
      </c>
    </row>
    <row r="3003" spans="1:2" x14ac:dyDescent="0.3">
      <c r="A3003" t="s">
        <v>4070</v>
      </c>
      <c r="B3003" t="s">
        <v>336</v>
      </c>
    </row>
    <row r="3004" spans="1:2" x14ac:dyDescent="0.3">
      <c r="A3004" t="s">
        <v>2609</v>
      </c>
      <c r="B3004" t="s">
        <v>568</v>
      </c>
    </row>
    <row r="3005" spans="1:2" x14ac:dyDescent="0.3">
      <c r="A3005" t="s">
        <v>3909</v>
      </c>
      <c r="B3005" t="s">
        <v>568</v>
      </c>
    </row>
    <row r="3006" spans="1:2" x14ac:dyDescent="0.3">
      <c r="A3006" t="s">
        <v>3910</v>
      </c>
      <c r="B3006" t="s">
        <v>568</v>
      </c>
    </row>
    <row r="3007" spans="1:2" x14ac:dyDescent="0.3">
      <c r="A3007" t="s">
        <v>4017</v>
      </c>
      <c r="B3007" t="s">
        <v>132</v>
      </c>
    </row>
    <row r="3008" spans="1:2" x14ac:dyDescent="0.3">
      <c r="A3008" t="s">
        <v>4049</v>
      </c>
      <c r="B3008" t="s">
        <v>1746</v>
      </c>
    </row>
    <row r="3009" spans="1:2" x14ac:dyDescent="0.3">
      <c r="A3009" t="s">
        <v>3463</v>
      </c>
      <c r="B3009" t="s">
        <v>18</v>
      </c>
    </row>
    <row r="3010" spans="1:2" x14ac:dyDescent="0.3">
      <c r="A3010" t="s">
        <v>3465</v>
      </c>
      <c r="B3010" t="s">
        <v>18</v>
      </c>
    </row>
    <row r="3011" spans="1:2" x14ac:dyDescent="0.3">
      <c r="A3011" t="s">
        <v>4617</v>
      </c>
      <c r="B3011" t="s">
        <v>130</v>
      </c>
    </row>
    <row r="3012" spans="1:2" x14ac:dyDescent="0.3">
      <c r="A3012" t="s">
        <v>3914</v>
      </c>
      <c r="B3012" t="s">
        <v>366</v>
      </c>
    </row>
    <row r="3013" spans="1:2" x14ac:dyDescent="0.3">
      <c r="A3013" t="s">
        <v>3913</v>
      </c>
      <c r="B3013" t="s">
        <v>3433</v>
      </c>
    </row>
    <row r="3014" spans="1:2" x14ac:dyDescent="0.3">
      <c r="A3014" t="s">
        <v>3911</v>
      </c>
      <c r="B3014" t="s">
        <v>1618</v>
      </c>
    </row>
    <row r="3015" spans="1:2" x14ac:dyDescent="0.3">
      <c r="A3015" t="s">
        <v>3224</v>
      </c>
      <c r="B3015" t="s">
        <v>3225</v>
      </c>
    </row>
    <row r="3016" spans="1:2" x14ac:dyDescent="0.3">
      <c r="A3016" t="s">
        <v>3912</v>
      </c>
      <c r="B3016" t="s">
        <v>154</v>
      </c>
    </row>
    <row r="3017" spans="1:2" x14ac:dyDescent="0.3">
      <c r="A3017" t="s">
        <v>2274</v>
      </c>
      <c r="B3017" t="s">
        <v>2275</v>
      </c>
    </row>
    <row r="3018" spans="1:2" x14ac:dyDescent="0.3">
      <c r="A3018" t="s">
        <v>1907</v>
      </c>
      <c r="B3018" t="s">
        <v>1307</v>
      </c>
    </row>
    <row r="3019" spans="1:2" x14ac:dyDescent="0.3">
      <c r="A3019" t="s">
        <v>3464</v>
      </c>
      <c r="B3019" t="s">
        <v>184</v>
      </c>
    </row>
    <row r="3020" spans="1:2" x14ac:dyDescent="0.3">
      <c r="A3020" t="s">
        <v>4000</v>
      </c>
      <c r="B3020" t="s">
        <v>184</v>
      </c>
    </row>
    <row r="3021" spans="1:2" x14ac:dyDescent="0.3">
      <c r="A3021" t="s">
        <v>3429</v>
      </c>
      <c r="B3021" t="s">
        <v>3430</v>
      </c>
    </row>
    <row r="3022" spans="1:2" x14ac:dyDescent="0.3">
      <c r="A3022" t="s">
        <v>4096</v>
      </c>
      <c r="B3022" t="s">
        <v>1639</v>
      </c>
    </row>
    <row r="3023" spans="1:2" x14ac:dyDescent="0.3">
      <c r="A3023" t="s">
        <v>2252</v>
      </c>
      <c r="B3023" t="s">
        <v>381</v>
      </c>
    </row>
    <row r="3024" spans="1:2" x14ac:dyDescent="0.3">
      <c r="A3024" t="s">
        <v>2253</v>
      </c>
      <c r="B3024" t="s">
        <v>381</v>
      </c>
    </row>
    <row r="3025" spans="1:2" x14ac:dyDescent="0.3">
      <c r="A3025" t="s">
        <v>3655</v>
      </c>
      <c r="B3025" t="s">
        <v>3656</v>
      </c>
    </row>
    <row r="3026" spans="1:2" x14ac:dyDescent="0.3">
      <c r="A3026" t="s">
        <v>1926</v>
      </c>
      <c r="B3026" t="s">
        <v>1927</v>
      </c>
    </row>
    <row r="3027" spans="1:2" x14ac:dyDescent="0.3">
      <c r="A3027" t="s">
        <v>831</v>
      </c>
      <c r="B3027" t="s">
        <v>832</v>
      </c>
    </row>
    <row r="3028" spans="1:2" x14ac:dyDescent="0.3">
      <c r="A3028" t="s">
        <v>2790</v>
      </c>
      <c r="B3028" t="s">
        <v>494</v>
      </c>
    </row>
    <row r="3029" spans="1:2" x14ac:dyDescent="0.3">
      <c r="A3029" t="s">
        <v>3975</v>
      </c>
      <c r="B3029" t="s">
        <v>3976</v>
      </c>
    </row>
    <row r="3030" spans="1:2" x14ac:dyDescent="0.3">
      <c r="A3030" t="s">
        <v>2080</v>
      </c>
      <c r="B3030" t="s">
        <v>2081</v>
      </c>
    </row>
    <row r="3031" spans="1:2" x14ac:dyDescent="0.3">
      <c r="A3031" t="s">
        <v>2082</v>
      </c>
      <c r="B3031" t="s">
        <v>2083</v>
      </c>
    </row>
    <row r="3032" spans="1:2" x14ac:dyDescent="0.3">
      <c r="A3032" t="s">
        <v>4478</v>
      </c>
      <c r="B3032" t="s">
        <v>4479</v>
      </c>
    </row>
    <row r="3033" spans="1:2" x14ac:dyDescent="0.3">
      <c r="A3033" t="s">
        <v>4481</v>
      </c>
      <c r="B3033" t="s">
        <v>2572</v>
      </c>
    </row>
    <row r="3034" spans="1:2" x14ac:dyDescent="0.3">
      <c r="A3034" t="s">
        <v>4397</v>
      </c>
      <c r="B3034" t="s">
        <v>4398</v>
      </c>
    </row>
    <row r="3035" spans="1:2" x14ac:dyDescent="0.3">
      <c r="A3035" t="s">
        <v>3328</v>
      </c>
      <c r="B3035" t="s">
        <v>3329</v>
      </c>
    </row>
    <row r="3036" spans="1:2" x14ac:dyDescent="0.3">
      <c r="A3036" t="s">
        <v>3292</v>
      </c>
      <c r="B3036" t="s">
        <v>3293</v>
      </c>
    </row>
    <row r="3037" spans="1:2" x14ac:dyDescent="0.3">
      <c r="A3037" t="s">
        <v>190</v>
      </c>
      <c r="B3037" t="s">
        <v>11</v>
      </c>
    </row>
    <row r="3038" spans="1:2" x14ac:dyDescent="0.3">
      <c r="A3038" t="s">
        <v>4306</v>
      </c>
      <c r="B3038" t="s">
        <v>4140</v>
      </c>
    </row>
    <row r="3039" spans="1:2" x14ac:dyDescent="0.3">
      <c r="A3039" t="s">
        <v>462</v>
      </c>
      <c r="B3039" t="s">
        <v>463</v>
      </c>
    </row>
    <row r="3040" spans="1:2" x14ac:dyDescent="0.3">
      <c r="A3040" t="s">
        <v>2325</v>
      </c>
      <c r="B3040" t="s">
        <v>363</v>
      </c>
    </row>
    <row r="3041" spans="1:2" x14ac:dyDescent="0.3">
      <c r="A3041" t="s">
        <v>2397</v>
      </c>
      <c r="B3041" t="s">
        <v>363</v>
      </c>
    </row>
    <row r="3042" spans="1:2" x14ac:dyDescent="0.3">
      <c r="A3042" t="s">
        <v>2398</v>
      </c>
      <c r="B3042" t="s">
        <v>363</v>
      </c>
    </row>
    <row r="3043" spans="1:2" x14ac:dyDescent="0.3">
      <c r="A3043" t="s">
        <v>2399</v>
      </c>
      <c r="B3043" t="s">
        <v>363</v>
      </c>
    </row>
    <row r="3044" spans="1:2" x14ac:dyDescent="0.3">
      <c r="A3044" t="s">
        <v>2326</v>
      </c>
      <c r="B3044" t="s">
        <v>246</v>
      </c>
    </row>
    <row r="3045" spans="1:2" x14ac:dyDescent="0.3">
      <c r="A3045" t="s">
        <v>2327</v>
      </c>
      <c r="B3045" t="s">
        <v>246</v>
      </c>
    </row>
    <row r="3046" spans="1:2" x14ac:dyDescent="0.3">
      <c r="A3046" t="s">
        <v>2328</v>
      </c>
      <c r="B3046" t="s">
        <v>246</v>
      </c>
    </row>
    <row r="3047" spans="1:2" x14ac:dyDescent="0.3">
      <c r="A3047" t="s">
        <v>2400</v>
      </c>
      <c r="B3047" t="s">
        <v>363</v>
      </c>
    </row>
    <row r="3048" spans="1:2" x14ac:dyDescent="0.3">
      <c r="A3048" t="s">
        <v>2401</v>
      </c>
      <c r="B3048" t="s">
        <v>2402</v>
      </c>
    </row>
    <row r="3049" spans="1:2" x14ac:dyDescent="0.3">
      <c r="A3049" t="s">
        <v>3028</v>
      </c>
      <c r="B3049" t="s">
        <v>3027</v>
      </c>
    </row>
    <row r="3050" spans="1:2" x14ac:dyDescent="0.3">
      <c r="A3050" t="s">
        <v>2403</v>
      </c>
      <c r="B3050" t="s">
        <v>246</v>
      </c>
    </row>
    <row r="3051" spans="1:2" x14ac:dyDescent="0.3">
      <c r="A3051" t="s">
        <v>388</v>
      </c>
    </row>
    <row r="3052" spans="1:2" x14ac:dyDescent="0.3">
      <c r="A3052" t="s">
        <v>2404</v>
      </c>
      <c r="B3052" t="s">
        <v>246</v>
      </c>
    </row>
    <row r="3053" spans="1:2" x14ac:dyDescent="0.3">
      <c r="A3053" t="s">
        <v>373</v>
      </c>
      <c r="B3053" t="s">
        <v>246</v>
      </c>
    </row>
    <row r="3054" spans="1:2" x14ac:dyDescent="0.3">
      <c r="A3054" t="s">
        <v>376</v>
      </c>
      <c r="B3054" t="s">
        <v>246</v>
      </c>
    </row>
    <row r="3055" spans="1:2" x14ac:dyDescent="0.3">
      <c r="A3055" t="s">
        <v>2405</v>
      </c>
      <c r="B3055" t="s">
        <v>363</v>
      </c>
    </row>
    <row r="3056" spans="1:2" x14ac:dyDescent="0.3">
      <c r="A3056" t="s">
        <v>2406</v>
      </c>
      <c r="B3056" t="s">
        <v>2407</v>
      </c>
    </row>
    <row r="3057" spans="1:2" x14ac:dyDescent="0.3">
      <c r="A3057" t="s">
        <v>2408</v>
      </c>
      <c r="B3057" t="s">
        <v>2409</v>
      </c>
    </row>
    <row r="3058" spans="1:2" x14ac:dyDescent="0.3">
      <c r="A3058" t="s">
        <v>2410</v>
      </c>
      <c r="B3058" t="s">
        <v>2411</v>
      </c>
    </row>
    <row r="3059" spans="1:2" x14ac:dyDescent="0.3">
      <c r="A3059" t="s">
        <v>2412</v>
      </c>
      <c r="B3059" t="s">
        <v>363</v>
      </c>
    </row>
    <row r="3060" spans="1:2" x14ac:dyDescent="0.3">
      <c r="A3060" t="s">
        <v>3296</v>
      </c>
      <c r="B3060" t="s">
        <v>363</v>
      </c>
    </row>
    <row r="3061" spans="1:2" x14ac:dyDescent="0.3">
      <c r="A3061" t="s">
        <v>3026</v>
      </c>
      <c r="B3061" t="s">
        <v>3027</v>
      </c>
    </row>
    <row r="3062" spans="1:2" x14ac:dyDescent="0.3">
      <c r="A3062" t="s">
        <v>1369</v>
      </c>
      <c r="B3062" t="s">
        <v>363</v>
      </c>
    </row>
    <row r="3063" spans="1:2" x14ac:dyDescent="0.3">
      <c r="A3063" t="s">
        <v>3805</v>
      </c>
      <c r="B3063" t="s">
        <v>363</v>
      </c>
    </row>
    <row r="3064" spans="1:2" x14ac:dyDescent="0.3">
      <c r="A3064" t="s">
        <v>3202</v>
      </c>
      <c r="B3064" t="s">
        <v>363</v>
      </c>
    </row>
    <row r="3065" spans="1:2" x14ac:dyDescent="0.3">
      <c r="A3065" t="s">
        <v>2413</v>
      </c>
      <c r="B3065" t="s">
        <v>363</v>
      </c>
    </row>
    <row r="3066" spans="1:2" x14ac:dyDescent="0.3">
      <c r="A3066" t="s">
        <v>2414</v>
      </c>
      <c r="B3066" t="s">
        <v>363</v>
      </c>
    </row>
    <row r="3067" spans="1:2" x14ac:dyDescent="0.3">
      <c r="A3067" t="s">
        <v>943</v>
      </c>
      <c r="B3067" t="s">
        <v>363</v>
      </c>
    </row>
    <row r="3068" spans="1:2" x14ac:dyDescent="0.3">
      <c r="A3068" t="s">
        <v>3210</v>
      </c>
      <c r="B3068" t="s">
        <v>363</v>
      </c>
    </row>
    <row r="3069" spans="1:2" x14ac:dyDescent="0.3">
      <c r="A3069" t="s">
        <v>2415</v>
      </c>
      <c r="B3069" t="s">
        <v>363</v>
      </c>
    </row>
    <row r="3070" spans="1:2" x14ac:dyDescent="0.3">
      <c r="A3070" t="s">
        <v>2232</v>
      </c>
      <c r="B3070" t="s">
        <v>363</v>
      </c>
    </row>
    <row r="3071" spans="1:2" x14ac:dyDescent="0.3">
      <c r="A3071" t="s">
        <v>1085</v>
      </c>
      <c r="B3071" t="s">
        <v>363</v>
      </c>
    </row>
    <row r="3072" spans="1:2" x14ac:dyDescent="0.3">
      <c r="A3072" t="s">
        <v>1424</v>
      </c>
      <c r="B3072" t="s">
        <v>363</v>
      </c>
    </row>
    <row r="3073" spans="1:2" x14ac:dyDescent="0.3">
      <c r="A3073" t="s">
        <v>2329</v>
      </c>
      <c r="B3073" t="s">
        <v>116</v>
      </c>
    </row>
    <row r="3074" spans="1:2" x14ac:dyDescent="0.3">
      <c r="A3074" t="s">
        <v>2416</v>
      </c>
      <c r="B3074" t="s">
        <v>116</v>
      </c>
    </row>
    <row r="3075" spans="1:2" x14ac:dyDescent="0.3">
      <c r="A3075" t="s">
        <v>1921</v>
      </c>
      <c r="B3075" t="s">
        <v>1922</v>
      </c>
    </row>
    <row r="3076" spans="1:2" x14ac:dyDescent="0.3">
      <c r="A3076" t="s">
        <v>2180</v>
      </c>
      <c r="B3076" t="s">
        <v>116</v>
      </c>
    </row>
    <row r="3077" spans="1:2" x14ac:dyDescent="0.3">
      <c r="A3077" t="s">
        <v>4019</v>
      </c>
      <c r="B3077" t="s">
        <v>116</v>
      </c>
    </row>
    <row r="3078" spans="1:2" x14ac:dyDescent="0.3">
      <c r="A3078" t="s">
        <v>2417</v>
      </c>
      <c r="B3078" t="s">
        <v>116</v>
      </c>
    </row>
    <row r="3079" spans="1:2" x14ac:dyDescent="0.3">
      <c r="A3079" t="s">
        <v>2418</v>
      </c>
      <c r="B3079" t="s">
        <v>116</v>
      </c>
    </row>
    <row r="3080" spans="1:2" x14ac:dyDescent="0.3">
      <c r="A3080" t="s">
        <v>2330</v>
      </c>
      <c r="B3080" t="s">
        <v>116</v>
      </c>
    </row>
    <row r="3081" spans="1:2" x14ac:dyDescent="0.3">
      <c r="A3081" t="s">
        <v>4018</v>
      </c>
      <c r="B3081" t="s">
        <v>116</v>
      </c>
    </row>
    <row r="3082" spans="1:2" x14ac:dyDescent="0.3">
      <c r="A3082" t="s">
        <v>2419</v>
      </c>
      <c r="B3082" t="s">
        <v>116</v>
      </c>
    </row>
    <row r="3083" spans="1:2" x14ac:dyDescent="0.3">
      <c r="A3083" t="s">
        <v>1410</v>
      </c>
      <c r="B3083" t="s">
        <v>116</v>
      </c>
    </row>
    <row r="3084" spans="1:2" x14ac:dyDescent="0.3">
      <c r="A3084" t="s">
        <v>2420</v>
      </c>
      <c r="B3084" t="s">
        <v>116</v>
      </c>
    </row>
    <row r="3085" spans="1:2" x14ac:dyDescent="0.3">
      <c r="A3085" t="s">
        <v>1827</v>
      </c>
      <c r="B3085" t="s">
        <v>363</v>
      </c>
    </row>
    <row r="3086" spans="1:2" x14ac:dyDescent="0.3">
      <c r="A3086" t="s">
        <v>942</v>
      </c>
      <c r="B3086" t="s">
        <v>363</v>
      </c>
    </row>
    <row r="3087" spans="1:2" x14ac:dyDescent="0.3">
      <c r="A3087" t="s">
        <v>4348</v>
      </c>
      <c r="B3087" t="s">
        <v>363</v>
      </c>
    </row>
    <row r="3088" spans="1:2" x14ac:dyDescent="0.3">
      <c r="A3088" t="s">
        <v>2421</v>
      </c>
      <c r="B3088" t="s">
        <v>363</v>
      </c>
    </row>
    <row r="3089" spans="1:2" x14ac:dyDescent="0.3">
      <c r="A3089" t="s">
        <v>1403</v>
      </c>
      <c r="B3089" t="s">
        <v>363</v>
      </c>
    </row>
    <row r="3090" spans="1:2" x14ac:dyDescent="0.3">
      <c r="A3090" t="s">
        <v>4467</v>
      </c>
      <c r="B3090" t="s">
        <v>4468</v>
      </c>
    </row>
    <row r="3091" spans="1:2" x14ac:dyDescent="0.3">
      <c r="A3091" t="s">
        <v>3203</v>
      </c>
      <c r="B3091" t="s">
        <v>3204</v>
      </c>
    </row>
    <row r="3092" spans="1:2" x14ac:dyDescent="0.3">
      <c r="A3092" t="s">
        <v>4257</v>
      </c>
      <c r="B3092" t="s">
        <v>363</v>
      </c>
    </row>
    <row r="3093" spans="1:2" x14ac:dyDescent="0.3">
      <c r="A3093" t="s">
        <v>1946</v>
      </c>
      <c r="B3093" t="s">
        <v>363</v>
      </c>
    </row>
    <row r="3094" spans="1:2" x14ac:dyDescent="0.3">
      <c r="A3094" t="s">
        <v>1947</v>
      </c>
      <c r="B3094" t="s">
        <v>1948</v>
      </c>
    </row>
    <row r="3095" spans="1:2" x14ac:dyDescent="0.3">
      <c r="A3095" t="s">
        <v>4235</v>
      </c>
      <c r="B3095" t="s">
        <v>4236</v>
      </c>
    </row>
    <row r="3096" spans="1:2" x14ac:dyDescent="0.3">
      <c r="A3096" t="s">
        <v>2422</v>
      </c>
      <c r="B3096" t="s">
        <v>363</v>
      </c>
    </row>
    <row r="3097" spans="1:2" x14ac:dyDescent="0.3">
      <c r="A3097" t="s">
        <v>2331</v>
      </c>
      <c r="B3097" t="s">
        <v>363</v>
      </c>
    </row>
    <row r="3098" spans="1:2" x14ac:dyDescent="0.3">
      <c r="A3098" t="s">
        <v>2423</v>
      </c>
      <c r="B3098" t="s">
        <v>363</v>
      </c>
    </row>
    <row r="3099" spans="1:2" x14ac:dyDescent="0.3">
      <c r="A3099" t="s">
        <v>1108</v>
      </c>
      <c r="B3099" t="s">
        <v>363</v>
      </c>
    </row>
    <row r="3100" spans="1:2" x14ac:dyDescent="0.3">
      <c r="A3100" t="s">
        <v>844</v>
      </c>
      <c r="B3100" t="s">
        <v>363</v>
      </c>
    </row>
    <row r="3101" spans="1:2" x14ac:dyDescent="0.3">
      <c r="A3101" t="s">
        <v>1196</v>
      </c>
      <c r="B3101" t="s">
        <v>1197</v>
      </c>
    </row>
    <row r="3102" spans="1:2" x14ac:dyDescent="0.3">
      <c r="A3102" t="s">
        <v>1579</v>
      </c>
      <c r="B3102" t="s">
        <v>1580</v>
      </c>
    </row>
    <row r="3103" spans="1:2" x14ac:dyDescent="0.3">
      <c r="A3103" t="s">
        <v>643</v>
      </c>
      <c r="B3103" t="s">
        <v>246</v>
      </c>
    </row>
    <row r="3104" spans="1:2" x14ac:dyDescent="0.3">
      <c r="A3104" t="s">
        <v>645</v>
      </c>
      <c r="B3104" t="s">
        <v>646</v>
      </c>
    </row>
    <row r="3105" spans="1:2" x14ac:dyDescent="0.3">
      <c r="A3105" t="s">
        <v>2450</v>
      </c>
      <c r="B3105" t="s">
        <v>246</v>
      </c>
    </row>
    <row r="3106" spans="1:2" x14ac:dyDescent="0.3">
      <c r="A3106" t="s">
        <v>647</v>
      </c>
      <c r="B3106" t="s">
        <v>246</v>
      </c>
    </row>
    <row r="3107" spans="1:2" x14ac:dyDescent="0.3">
      <c r="A3107" t="s">
        <v>648</v>
      </c>
      <c r="B3107" t="s">
        <v>246</v>
      </c>
    </row>
    <row r="3108" spans="1:2" x14ac:dyDescent="0.3">
      <c r="A3108" t="s">
        <v>649</v>
      </c>
      <c r="B3108" t="s">
        <v>246</v>
      </c>
    </row>
    <row r="3109" spans="1:2" x14ac:dyDescent="0.3">
      <c r="A3109" t="s">
        <v>2332</v>
      </c>
      <c r="B3109" t="s">
        <v>246</v>
      </c>
    </row>
    <row r="3110" spans="1:2" x14ac:dyDescent="0.3">
      <c r="A3110" t="s">
        <v>650</v>
      </c>
      <c r="B3110" t="s">
        <v>246</v>
      </c>
    </row>
    <row r="3111" spans="1:2" x14ac:dyDescent="0.3">
      <c r="A3111" t="s">
        <v>382</v>
      </c>
      <c r="B3111" t="s">
        <v>353</v>
      </c>
    </row>
    <row r="3112" spans="1:2" x14ac:dyDescent="0.3">
      <c r="A3112" t="s">
        <v>375</v>
      </c>
      <c r="B3112" t="s">
        <v>353</v>
      </c>
    </row>
    <row r="3113" spans="1:2" x14ac:dyDescent="0.3">
      <c r="A3113" t="s">
        <v>378</v>
      </c>
      <c r="B3113" t="s">
        <v>353</v>
      </c>
    </row>
    <row r="3114" spans="1:2" x14ac:dyDescent="0.3">
      <c r="A3114" t="s">
        <v>843</v>
      </c>
      <c r="B3114" t="s">
        <v>353</v>
      </c>
    </row>
    <row r="3115" spans="1:2" x14ac:dyDescent="0.3">
      <c r="A3115" t="s">
        <v>2993</v>
      </c>
      <c r="B3115" t="s">
        <v>353</v>
      </c>
    </row>
    <row r="3116" spans="1:2" x14ac:dyDescent="0.3">
      <c r="A3116" t="s">
        <v>1830</v>
      </c>
      <c r="B3116" t="s">
        <v>353</v>
      </c>
    </row>
    <row r="3117" spans="1:2" x14ac:dyDescent="0.3">
      <c r="A3117" t="s">
        <v>1891</v>
      </c>
      <c r="B3117" t="s">
        <v>353</v>
      </c>
    </row>
    <row r="3118" spans="1:2" x14ac:dyDescent="0.3">
      <c r="A3118" t="s">
        <v>2333</v>
      </c>
      <c r="B3118" t="s">
        <v>353</v>
      </c>
    </row>
    <row r="3119" spans="1:2" x14ac:dyDescent="0.3">
      <c r="A3119" t="s">
        <v>33</v>
      </c>
    </row>
    <row r="3120" spans="1:2" x14ac:dyDescent="0.3">
      <c r="A3120" t="s">
        <v>34</v>
      </c>
    </row>
    <row r="3121" spans="1:2" x14ac:dyDescent="0.3">
      <c r="A3121" t="s">
        <v>35</v>
      </c>
      <c r="B3121" t="s">
        <v>36</v>
      </c>
    </row>
    <row r="3122" spans="1:2" x14ac:dyDescent="0.3">
      <c r="A3122" t="s">
        <v>37</v>
      </c>
    </row>
    <row r="3123" spans="1:2" x14ac:dyDescent="0.3">
      <c r="A3123" t="s">
        <v>46</v>
      </c>
      <c r="B3123" t="s">
        <v>36</v>
      </c>
    </row>
    <row r="3124" spans="1:2" x14ac:dyDescent="0.3">
      <c r="A3124" t="s">
        <v>48</v>
      </c>
    </row>
    <row r="3125" spans="1:2" x14ac:dyDescent="0.3">
      <c r="A3125" t="s">
        <v>49</v>
      </c>
    </row>
    <row r="3126" spans="1:2" x14ac:dyDescent="0.3">
      <c r="A3126" t="s">
        <v>45</v>
      </c>
    </row>
    <row r="3127" spans="1:2" x14ac:dyDescent="0.3">
      <c r="A3127" t="s">
        <v>51</v>
      </c>
    </row>
    <row r="3128" spans="1:2" x14ac:dyDescent="0.3">
      <c r="A3128" t="s">
        <v>44</v>
      </c>
      <c r="B3128" t="s">
        <v>36</v>
      </c>
    </row>
    <row r="3129" spans="1:2" x14ac:dyDescent="0.3">
      <c r="A3129" t="s">
        <v>47</v>
      </c>
      <c r="B3129" t="s">
        <v>36</v>
      </c>
    </row>
    <row r="3130" spans="1:2" x14ac:dyDescent="0.3">
      <c r="A3130" t="s">
        <v>50</v>
      </c>
    </row>
    <row r="3131" spans="1:2" x14ac:dyDescent="0.3">
      <c r="A3131" t="s">
        <v>42</v>
      </c>
      <c r="B3131" t="s">
        <v>36</v>
      </c>
    </row>
    <row r="3132" spans="1:2" x14ac:dyDescent="0.3">
      <c r="A3132" t="s">
        <v>43</v>
      </c>
    </row>
    <row r="3133" spans="1:2" x14ac:dyDescent="0.3">
      <c r="A3133" t="s">
        <v>39</v>
      </c>
    </row>
    <row r="3134" spans="1:2" x14ac:dyDescent="0.3">
      <c r="A3134" t="s">
        <v>38</v>
      </c>
    </row>
    <row r="3135" spans="1:2" x14ac:dyDescent="0.3">
      <c r="A3135" t="s">
        <v>40</v>
      </c>
    </row>
    <row r="3136" spans="1:2" x14ac:dyDescent="0.3">
      <c r="A3136" t="s">
        <v>41</v>
      </c>
    </row>
    <row r="3137" spans="1:2" x14ac:dyDescent="0.3">
      <c r="A3137" t="s">
        <v>4307</v>
      </c>
      <c r="B3137" t="s">
        <v>1228</v>
      </c>
    </row>
    <row r="3138" spans="1:2" x14ac:dyDescent="0.3">
      <c r="A3138" t="s">
        <v>474</v>
      </c>
      <c r="B3138" t="s">
        <v>132</v>
      </c>
    </row>
    <row r="3139" spans="1:2" x14ac:dyDescent="0.3">
      <c r="A3139" t="s">
        <v>4752</v>
      </c>
      <c r="B3139" t="s">
        <v>168</v>
      </c>
    </row>
    <row r="3140" spans="1:2" x14ac:dyDescent="0.3">
      <c r="A3140" t="s">
        <v>167</v>
      </c>
      <c r="B3140" t="s">
        <v>168</v>
      </c>
    </row>
    <row r="3141" spans="1:2" x14ac:dyDescent="0.3">
      <c r="A3141" t="s">
        <v>3150</v>
      </c>
      <c r="B3141" t="s">
        <v>3151</v>
      </c>
    </row>
    <row r="3142" spans="1:2" x14ac:dyDescent="0.3">
      <c r="A3142" t="s">
        <v>3148</v>
      </c>
      <c r="B3142" t="s">
        <v>3149</v>
      </c>
    </row>
    <row r="3143" spans="1:2" x14ac:dyDescent="0.3">
      <c r="A3143" t="s">
        <v>4699</v>
      </c>
      <c r="B3143" t="s">
        <v>4700</v>
      </c>
    </row>
    <row r="3144" spans="1:2" x14ac:dyDescent="0.3">
      <c r="A3144" t="s">
        <v>3782</v>
      </c>
      <c r="B3144" t="s">
        <v>3783</v>
      </c>
    </row>
    <row r="3145" spans="1:2" x14ac:dyDescent="0.3">
      <c r="A3145" t="s">
        <v>2564</v>
      </c>
    </row>
    <row r="3146" spans="1:2" x14ac:dyDescent="0.3">
      <c r="A3146" t="s">
        <v>1717</v>
      </c>
      <c r="B3146" t="s">
        <v>1718</v>
      </c>
    </row>
    <row r="3147" spans="1:2" x14ac:dyDescent="0.3">
      <c r="A3147" t="s">
        <v>3723</v>
      </c>
      <c r="B3147" t="s">
        <v>3724</v>
      </c>
    </row>
    <row r="3148" spans="1:2" x14ac:dyDescent="0.3">
      <c r="A3148" t="s">
        <v>2913</v>
      </c>
      <c r="B3148" t="s">
        <v>2914</v>
      </c>
    </row>
    <row r="3149" spans="1:2" x14ac:dyDescent="0.3">
      <c r="A3149" t="s">
        <v>4367</v>
      </c>
      <c r="B3149" t="s">
        <v>132</v>
      </c>
    </row>
    <row r="3150" spans="1:2" x14ac:dyDescent="0.3">
      <c r="A3150" t="s">
        <v>4368</v>
      </c>
      <c r="B3150" t="s">
        <v>132</v>
      </c>
    </row>
    <row r="3151" spans="1:2" x14ac:dyDescent="0.3">
      <c r="A3151" t="s">
        <v>1863</v>
      </c>
      <c r="B3151" t="s">
        <v>1864</v>
      </c>
    </row>
    <row r="3152" spans="1:2" x14ac:dyDescent="0.3">
      <c r="A3152" t="s">
        <v>3599</v>
      </c>
      <c r="B3152" t="s">
        <v>893</v>
      </c>
    </row>
    <row r="3153" spans="1:2" x14ac:dyDescent="0.3">
      <c r="A3153" t="s">
        <v>2570</v>
      </c>
      <c r="B3153" t="s">
        <v>897</v>
      </c>
    </row>
    <row r="3154" spans="1:2" x14ac:dyDescent="0.3">
      <c r="A3154" t="s">
        <v>4618</v>
      </c>
      <c r="B3154" t="s">
        <v>893</v>
      </c>
    </row>
    <row r="3155" spans="1:2" x14ac:dyDescent="0.3">
      <c r="A3155" t="s">
        <v>3600</v>
      </c>
      <c r="B3155" t="s">
        <v>132</v>
      </c>
    </row>
    <row r="3156" spans="1:2" x14ac:dyDescent="0.3">
      <c r="A3156" t="s">
        <v>4469</v>
      </c>
      <c r="B3156" t="s">
        <v>132</v>
      </c>
    </row>
    <row r="3157" spans="1:2" x14ac:dyDescent="0.3">
      <c r="A3157" t="s">
        <v>3601</v>
      </c>
      <c r="B3157" t="s">
        <v>3602</v>
      </c>
    </row>
    <row r="3158" spans="1:2" x14ac:dyDescent="0.3">
      <c r="A3158" t="s">
        <v>4774</v>
      </c>
      <c r="B3158" t="s">
        <v>132</v>
      </c>
    </row>
    <row r="3159" spans="1:2" x14ac:dyDescent="0.3">
      <c r="A3159" t="s">
        <v>4414</v>
      </c>
      <c r="B3159" t="s">
        <v>246</v>
      </c>
    </row>
    <row r="3160" spans="1:2" x14ac:dyDescent="0.3">
      <c r="A3160" t="s">
        <v>2754</v>
      </c>
      <c r="B3160" t="s">
        <v>363</v>
      </c>
    </row>
    <row r="3161" spans="1:2" x14ac:dyDescent="0.3">
      <c r="A3161" t="s">
        <v>4415</v>
      </c>
      <c r="B3161" t="s">
        <v>246</v>
      </c>
    </row>
    <row r="3162" spans="1:2" x14ac:dyDescent="0.3">
      <c r="A3162" t="s">
        <v>3076</v>
      </c>
      <c r="B3162" t="s">
        <v>188</v>
      </c>
    </row>
    <row r="3163" spans="1:2" x14ac:dyDescent="0.3">
      <c r="A3163" t="s">
        <v>3835</v>
      </c>
      <c r="B3163" t="s">
        <v>188</v>
      </c>
    </row>
    <row r="3164" spans="1:2" x14ac:dyDescent="0.3">
      <c r="A3164" t="s">
        <v>4239</v>
      </c>
      <c r="B3164" t="s">
        <v>132</v>
      </c>
    </row>
    <row r="3165" spans="1:2" x14ac:dyDescent="0.3">
      <c r="A3165" t="s">
        <v>2211</v>
      </c>
      <c r="B3165" t="s">
        <v>2212</v>
      </c>
    </row>
    <row r="3166" spans="1:2" x14ac:dyDescent="0.3">
      <c r="A3166" t="s">
        <v>4213</v>
      </c>
      <c r="B3166" t="s">
        <v>188</v>
      </c>
    </row>
    <row r="3167" spans="1:2" x14ac:dyDescent="0.3">
      <c r="A3167" t="s">
        <v>3836</v>
      </c>
      <c r="B3167" t="s">
        <v>188</v>
      </c>
    </row>
    <row r="3168" spans="1:2" x14ac:dyDescent="0.3">
      <c r="A3168" t="s">
        <v>3837</v>
      </c>
      <c r="B3168" t="s">
        <v>188</v>
      </c>
    </row>
    <row r="3169" spans="1:2" x14ac:dyDescent="0.3">
      <c r="A3169" t="s">
        <v>2210</v>
      </c>
      <c r="B3169" t="s">
        <v>188</v>
      </c>
    </row>
    <row r="3170" spans="1:2" x14ac:dyDescent="0.3">
      <c r="A3170" t="s">
        <v>3446</v>
      </c>
      <c r="B3170" t="s">
        <v>188</v>
      </c>
    </row>
    <row r="3171" spans="1:2" x14ac:dyDescent="0.3">
      <c r="A3171" t="s">
        <v>3688</v>
      </c>
      <c r="B3171" t="s">
        <v>188</v>
      </c>
    </row>
    <row r="3172" spans="1:2" x14ac:dyDescent="0.3">
      <c r="A3172" t="s">
        <v>3689</v>
      </c>
      <c r="B3172" t="s">
        <v>188</v>
      </c>
    </row>
    <row r="3173" spans="1:2" x14ac:dyDescent="0.3">
      <c r="A3173" t="s">
        <v>3838</v>
      </c>
      <c r="B3173" t="s">
        <v>188</v>
      </c>
    </row>
    <row r="3174" spans="1:2" x14ac:dyDescent="0.3">
      <c r="A3174" t="s">
        <v>3603</v>
      </c>
      <c r="B3174" t="s">
        <v>188</v>
      </c>
    </row>
    <row r="3175" spans="1:2" x14ac:dyDescent="0.3">
      <c r="A3175" t="s">
        <v>1773</v>
      </c>
      <c r="B3175" t="s">
        <v>151</v>
      </c>
    </row>
    <row r="3176" spans="1:2" x14ac:dyDescent="0.3">
      <c r="A3176" t="s">
        <v>4238</v>
      </c>
      <c r="B3176" t="s">
        <v>188</v>
      </c>
    </row>
    <row r="3177" spans="1:2" x14ac:dyDescent="0.3">
      <c r="A3177" t="s">
        <v>4013</v>
      </c>
      <c r="B3177" t="s">
        <v>363</v>
      </c>
    </row>
    <row r="3178" spans="1:2" x14ac:dyDescent="0.3">
      <c r="A3178" t="s">
        <v>3685</v>
      </c>
      <c r="B3178" t="s">
        <v>336</v>
      </c>
    </row>
    <row r="3179" spans="1:2" x14ac:dyDescent="0.3">
      <c r="A3179" t="s">
        <v>2066</v>
      </c>
      <c r="B3179" t="s">
        <v>2067</v>
      </c>
    </row>
    <row r="3180" spans="1:2" x14ac:dyDescent="0.3">
      <c r="A3180" t="s">
        <v>1198</v>
      </c>
      <c r="B3180" t="s">
        <v>278</v>
      </c>
    </row>
    <row r="3181" spans="1:2" x14ac:dyDescent="0.3">
      <c r="A3181" t="s">
        <v>1192</v>
      </c>
      <c r="B3181" t="s">
        <v>278</v>
      </c>
    </row>
    <row r="3182" spans="1:2" x14ac:dyDescent="0.3">
      <c r="A3182" t="s">
        <v>2829</v>
      </c>
      <c r="B3182" t="s">
        <v>188</v>
      </c>
    </row>
    <row r="3183" spans="1:2" x14ac:dyDescent="0.3">
      <c r="A3183" t="s">
        <v>3514</v>
      </c>
      <c r="B3183" t="s">
        <v>2212</v>
      </c>
    </row>
    <row r="3184" spans="1:2" x14ac:dyDescent="0.3">
      <c r="A3184" t="s">
        <v>3298</v>
      </c>
      <c r="B3184" t="s">
        <v>3299</v>
      </c>
    </row>
    <row r="3185" spans="1:2" x14ac:dyDescent="0.3">
      <c r="A3185" t="s">
        <v>3839</v>
      </c>
      <c r="B3185" t="s">
        <v>173</v>
      </c>
    </row>
    <row r="3186" spans="1:2" x14ac:dyDescent="0.3">
      <c r="A3186" t="s">
        <v>2830</v>
      </c>
      <c r="B3186" t="s">
        <v>188</v>
      </c>
    </row>
    <row r="3187" spans="1:2" x14ac:dyDescent="0.3">
      <c r="A3187" t="s">
        <v>2547</v>
      </c>
      <c r="B3187" t="s">
        <v>132</v>
      </c>
    </row>
    <row r="3188" spans="1:2" x14ac:dyDescent="0.3">
      <c r="A3188" t="s">
        <v>2932</v>
      </c>
      <c r="B3188" t="s">
        <v>151</v>
      </c>
    </row>
    <row r="3189" spans="1:2" x14ac:dyDescent="0.3">
      <c r="A3189" t="s">
        <v>1806</v>
      </c>
    </row>
    <row r="3190" spans="1:2" x14ac:dyDescent="0.3">
      <c r="A3190" t="s">
        <v>2857</v>
      </c>
      <c r="B3190" t="s">
        <v>132</v>
      </c>
    </row>
    <row r="3191" spans="1:2" x14ac:dyDescent="0.3">
      <c r="A3191" t="s">
        <v>2861</v>
      </c>
      <c r="B3191" t="s">
        <v>132</v>
      </c>
    </row>
    <row r="3192" spans="1:2" x14ac:dyDescent="0.3">
      <c r="A3192" t="s">
        <v>2680</v>
      </c>
      <c r="B3192" t="s">
        <v>2681</v>
      </c>
    </row>
    <row r="3193" spans="1:2" x14ac:dyDescent="0.3">
      <c r="A3193" t="s">
        <v>3072</v>
      </c>
      <c r="B3193" t="s">
        <v>1319</v>
      </c>
    </row>
    <row r="3194" spans="1:2" x14ac:dyDescent="0.3">
      <c r="A3194" t="s">
        <v>4485</v>
      </c>
      <c r="B3194" t="s">
        <v>1319</v>
      </c>
    </row>
    <row r="3195" spans="1:2" x14ac:dyDescent="0.3">
      <c r="A3195" t="s">
        <v>644</v>
      </c>
      <c r="B3195" t="s">
        <v>246</v>
      </c>
    </row>
    <row r="3196" spans="1:2" x14ac:dyDescent="0.3">
      <c r="A3196" t="s">
        <v>2841</v>
      </c>
      <c r="B3196" t="s">
        <v>188</v>
      </c>
    </row>
    <row r="3197" spans="1:2" x14ac:dyDescent="0.3">
      <c r="A3197" t="s">
        <v>3078</v>
      </c>
      <c r="B3197" t="s">
        <v>173</v>
      </c>
    </row>
    <row r="3198" spans="1:2" x14ac:dyDescent="0.3">
      <c r="A3198" t="s">
        <v>1100</v>
      </c>
      <c r="B3198" t="s">
        <v>1101</v>
      </c>
    </row>
    <row r="3199" spans="1:2" x14ac:dyDescent="0.3">
      <c r="A3199" t="s">
        <v>3899</v>
      </c>
      <c r="B3199" t="s">
        <v>363</v>
      </c>
    </row>
    <row r="3200" spans="1:2" x14ac:dyDescent="0.3">
      <c r="A3200" t="s">
        <v>2548</v>
      </c>
      <c r="B3200" t="s">
        <v>2549</v>
      </c>
    </row>
    <row r="3201" spans="1:2" x14ac:dyDescent="0.3">
      <c r="A3201" t="s">
        <v>4419</v>
      </c>
      <c r="B3201" t="s">
        <v>129</v>
      </c>
    </row>
    <row r="3202" spans="1:2" x14ac:dyDescent="0.3">
      <c r="A3202" t="s">
        <v>4559</v>
      </c>
      <c r="B3202" t="s">
        <v>4560</v>
      </c>
    </row>
    <row r="3203" spans="1:2" x14ac:dyDescent="0.3">
      <c r="A3203" t="s">
        <v>361</v>
      </c>
      <c r="B3203" t="s">
        <v>119</v>
      </c>
    </row>
    <row r="3204" spans="1:2" x14ac:dyDescent="0.3">
      <c r="A3204" t="s">
        <v>355</v>
      </c>
      <c r="B3204" t="s">
        <v>356</v>
      </c>
    </row>
    <row r="3205" spans="1:2" x14ac:dyDescent="0.3">
      <c r="A3205" t="s">
        <v>3821</v>
      </c>
      <c r="B3205" t="s">
        <v>136</v>
      </c>
    </row>
    <row r="3206" spans="1:2" x14ac:dyDescent="0.3">
      <c r="A3206" t="s">
        <v>870</v>
      </c>
      <c r="B3206" t="s">
        <v>871</v>
      </c>
    </row>
    <row r="3207" spans="1:2" x14ac:dyDescent="0.3">
      <c r="A3207" t="s">
        <v>1693</v>
      </c>
      <c r="B3207" t="s">
        <v>1694</v>
      </c>
    </row>
    <row r="3208" spans="1:2" x14ac:dyDescent="0.3">
      <c r="A3208" t="s">
        <v>4651</v>
      </c>
      <c r="B3208" t="s">
        <v>4652</v>
      </c>
    </row>
    <row r="3209" spans="1:2" x14ac:dyDescent="0.3">
      <c r="A3209" t="s">
        <v>3393</v>
      </c>
      <c r="B3209" t="s">
        <v>1325</v>
      </c>
    </row>
    <row r="3210" spans="1:2" x14ac:dyDescent="0.3">
      <c r="A3210" t="s">
        <v>4686</v>
      </c>
      <c r="B3210" t="s">
        <v>391</v>
      </c>
    </row>
    <row r="3211" spans="1:2" x14ac:dyDescent="0.3">
      <c r="A3211" t="s">
        <v>540</v>
      </c>
      <c r="B3211" t="s">
        <v>278</v>
      </c>
    </row>
    <row r="3212" spans="1:2" x14ac:dyDescent="0.3">
      <c r="A3212" t="s">
        <v>277</v>
      </c>
      <c r="B3212" t="s">
        <v>278</v>
      </c>
    </row>
    <row r="3213" spans="1:2" x14ac:dyDescent="0.3">
      <c r="A3213" t="s">
        <v>279</v>
      </c>
      <c r="B3213" t="s">
        <v>278</v>
      </c>
    </row>
    <row r="3214" spans="1:2" x14ac:dyDescent="0.3">
      <c r="A3214" t="s">
        <v>280</v>
      </c>
      <c r="B3214" t="s">
        <v>278</v>
      </c>
    </row>
    <row r="3215" spans="1:2" x14ac:dyDescent="0.3">
      <c r="A3215" t="s">
        <v>281</v>
      </c>
      <c r="B3215" t="s">
        <v>278</v>
      </c>
    </row>
    <row r="3216" spans="1:2" x14ac:dyDescent="0.3">
      <c r="A3216" t="s">
        <v>282</v>
      </c>
      <c r="B3216" t="s">
        <v>278</v>
      </c>
    </row>
    <row r="3217" spans="1:2" x14ac:dyDescent="0.3">
      <c r="A3217" t="s">
        <v>283</v>
      </c>
      <c r="B3217" t="s">
        <v>278</v>
      </c>
    </row>
    <row r="3218" spans="1:2" x14ac:dyDescent="0.3">
      <c r="A3218" t="s">
        <v>284</v>
      </c>
      <c r="B3218" t="s">
        <v>278</v>
      </c>
    </row>
    <row r="3219" spans="1:2" x14ac:dyDescent="0.3">
      <c r="A3219" t="s">
        <v>285</v>
      </c>
      <c r="B3219" t="s">
        <v>278</v>
      </c>
    </row>
    <row r="3220" spans="1:2" x14ac:dyDescent="0.3">
      <c r="A3220" t="s">
        <v>286</v>
      </c>
      <c r="B3220" t="s">
        <v>278</v>
      </c>
    </row>
    <row r="3221" spans="1:2" x14ac:dyDescent="0.3">
      <c r="A3221" t="s">
        <v>287</v>
      </c>
      <c r="B3221" t="s">
        <v>278</v>
      </c>
    </row>
    <row r="3222" spans="1:2" x14ac:dyDescent="0.3">
      <c r="A3222" t="s">
        <v>288</v>
      </c>
      <c r="B3222" t="s">
        <v>278</v>
      </c>
    </row>
    <row r="3223" spans="1:2" x14ac:dyDescent="0.3">
      <c r="A3223" t="s">
        <v>4655</v>
      </c>
      <c r="B3223" t="s">
        <v>4656</v>
      </c>
    </row>
    <row r="3224" spans="1:2" x14ac:dyDescent="0.3">
      <c r="A3224" t="s">
        <v>4653</v>
      </c>
      <c r="B3224" t="s">
        <v>4654</v>
      </c>
    </row>
    <row r="3225" spans="1:2" x14ac:dyDescent="0.3">
      <c r="A3225" t="s">
        <v>4091</v>
      </c>
      <c r="B3225" t="s">
        <v>4092</v>
      </c>
    </row>
    <row r="3226" spans="1:2" x14ac:dyDescent="0.3">
      <c r="A3226" t="s">
        <v>109</v>
      </c>
      <c r="B3226" t="s">
        <v>13</v>
      </c>
    </row>
    <row r="3227" spans="1:2" x14ac:dyDescent="0.3">
      <c r="A3227" t="s">
        <v>1293</v>
      </c>
      <c r="B3227" t="s">
        <v>264</v>
      </c>
    </row>
    <row r="3228" spans="1:2" x14ac:dyDescent="0.3">
      <c r="A3228" t="s">
        <v>98</v>
      </c>
    </row>
    <row r="3229" spans="1:2" x14ac:dyDescent="0.3">
      <c r="A3229" t="s">
        <v>4710</v>
      </c>
      <c r="B3229" t="s">
        <v>4711</v>
      </c>
    </row>
    <row r="3230" spans="1:2" x14ac:dyDescent="0.3">
      <c r="A3230" t="s">
        <v>4756</v>
      </c>
      <c r="B3230" t="s">
        <v>4757</v>
      </c>
    </row>
    <row r="3231" spans="1:2" x14ac:dyDescent="0.3">
      <c r="A3231" t="s">
        <v>332</v>
      </c>
    </row>
    <row r="3232" spans="1:2" x14ac:dyDescent="0.3">
      <c r="A3232" t="s">
        <v>333</v>
      </c>
    </row>
    <row r="3233" spans="1:2" x14ac:dyDescent="0.3">
      <c r="A3233" t="s">
        <v>2283</v>
      </c>
    </row>
    <row r="3234" spans="1:2" x14ac:dyDescent="0.3">
      <c r="A3234" t="s">
        <v>239</v>
      </c>
      <c r="B3234" t="s">
        <v>13</v>
      </c>
    </row>
    <row r="3235" spans="1:2" x14ac:dyDescent="0.3">
      <c r="A3235" t="s">
        <v>97</v>
      </c>
    </row>
    <row r="3236" spans="1:2" x14ac:dyDescent="0.3">
      <c r="A3236" t="s">
        <v>6</v>
      </c>
      <c r="B3236" t="s">
        <v>7</v>
      </c>
    </row>
    <row r="3237" spans="1:2" x14ac:dyDescent="0.3">
      <c r="A3237" t="s">
        <v>2424</v>
      </c>
      <c r="B3237" t="s">
        <v>794</v>
      </c>
    </row>
    <row r="3238" spans="1:2" x14ac:dyDescent="0.3">
      <c r="A3238" t="s">
        <v>1870</v>
      </c>
      <c r="B3238" t="s">
        <v>1871</v>
      </c>
    </row>
    <row r="3239" spans="1:2" x14ac:dyDescent="0.3">
      <c r="A3239" t="s">
        <v>4697</v>
      </c>
      <c r="B3239" t="s">
        <v>511</v>
      </c>
    </row>
    <row r="3240" spans="1:2" x14ac:dyDescent="0.3">
      <c r="A3240" t="s">
        <v>712</v>
      </c>
    </row>
    <row r="3241" spans="1:2" x14ac:dyDescent="0.3">
      <c r="A3241" t="s">
        <v>4372</v>
      </c>
      <c r="B3241" t="s">
        <v>132</v>
      </c>
    </row>
    <row r="3242" spans="1:2" x14ac:dyDescent="0.3">
      <c r="A3242" t="s">
        <v>1983</v>
      </c>
      <c r="B3242" t="s">
        <v>786</v>
      </c>
    </row>
    <row r="3243" spans="1:2" x14ac:dyDescent="0.3">
      <c r="A3243" t="s">
        <v>1984</v>
      </c>
      <c r="B3243" t="s">
        <v>786</v>
      </c>
    </row>
    <row r="3244" spans="1:2" x14ac:dyDescent="0.3">
      <c r="A3244" t="s">
        <v>4139</v>
      </c>
      <c r="B3244" t="s">
        <v>4140</v>
      </c>
    </row>
    <row r="3245" spans="1:2" x14ac:dyDescent="0.3">
      <c r="A3245" t="s">
        <v>3174</v>
      </c>
      <c r="B3245" t="s">
        <v>966</v>
      </c>
    </row>
    <row r="3246" spans="1:2" x14ac:dyDescent="0.3">
      <c r="A3246" t="s">
        <v>4029</v>
      </c>
      <c r="B3246" t="s">
        <v>4030</v>
      </c>
    </row>
    <row r="3247" spans="1:2" x14ac:dyDescent="0.3">
      <c r="A3247" t="s">
        <v>3365</v>
      </c>
      <c r="B3247" t="s">
        <v>3366</v>
      </c>
    </row>
    <row r="3248" spans="1:2" x14ac:dyDescent="0.3">
      <c r="A3248" t="s">
        <v>2600</v>
      </c>
      <c r="B3248" t="s">
        <v>2601</v>
      </c>
    </row>
    <row r="3249" spans="1:2" x14ac:dyDescent="0.3">
      <c r="A3249" t="s">
        <v>4537</v>
      </c>
      <c r="B3249" t="s">
        <v>4030</v>
      </c>
    </row>
    <row r="3250" spans="1:2" x14ac:dyDescent="0.3">
      <c r="A3250" t="s">
        <v>2987</v>
      </c>
      <c r="B3250" t="s">
        <v>119</v>
      </c>
    </row>
    <row r="3251" spans="1:2" x14ac:dyDescent="0.3">
      <c r="A3251" t="s">
        <v>1916</v>
      </c>
      <c r="B3251" t="s">
        <v>119</v>
      </c>
    </row>
    <row r="3252" spans="1:2" x14ac:dyDescent="0.3">
      <c r="A3252" t="s">
        <v>4304</v>
      </c>
      <c r="B3252" t="s">
        <v>119</v>
      </c>
    </row>
    <row r="3253" spans="1:2" x14ac:dyDescent="0.3">
      <c r="A3253" t="s">
        <v>4584</v>
      </c>
      <c r="B3253" t="s">
        <v>956</v>
      </c>
    </row>
    <row r="3254" spans="1:2" x14ac:dyDescent="0.3">
      <c r="A3254" t="s">
        <v>955</v>
      </c>
      <c r="B3254" t="s">
        <v>956</v>
      </c>
    </row>
    <row r="3255" spans="1:2" x14ac:dyDescent="0.3">
      <c r="A3255" t="s">
        <v>385</v>
      </c>
    </row>
    <row r="3256" spans="1:2" x14ac:dyDescent="0.3">
      <c r="A3256" t="s">
        <v>4552</v>
      </c>
      <c r="B3256" t="s">
        <v>4553</v>
      </c>
    </row>
    <row r="3257" spans="1:2" x14ac:dyDescent="0.3">
      <c r="A3257" t="s">
        <v>4554</v>
      </c>
      <c r="B3257" t="s">
        <v>4553</v>
      </c>
    </row>
    <row r="3258" spans="1:2" x14ac:dyDescent="0.3">
      <c r="A3258" t="s">
        <v>4555</v>
      </c>
      <c r="B3258" t="s">
        <v>4553</v>
      </c>
    </row>
    <row r="3259" spans="1:2" x14ac:dyDescent="0.3">
      <c r="A3259" t="s">
        <v>4556</v>
      </c>
      <c r="B3259" t="s">
        <v>4553</v>
      </c>
    </row>
    <row r="3260" spans="1:2" x14ac:dyDescent="0.3">
      <c r="A3260" t="s">
        <v>4557</v>
      </c>
      <c r="B3260" t="s">
        <v>4553</v>
      </c>
    </row>
    <row r="3261" spans="1:2" x14ac:dyDescent="0.3">
      <c r="A3261" t="s">
        <v>4558</v>
      </c>
      <c r="B3261" t="s">
        <v>4553</v>
      </c>
    </row>
    <row r="3262" spans="1:2" x14ac:dyDescent="0.3">
      <c r="A3262" t="s">
        <v>4585</v>
      </c>
      <c r="B3262" t="s">
        <v>4586</v>
      </c>
    </row>
    <row r="3263" spans="1:2" x14ac:dyDescent="0.3">
      <c r="A3263" t="s">
        <v>4290</v>
      </c>
      <c r="B3263" t="s">
        <v>3775</v>
      </c>
    </row>
    <row r="3264" spans="1:2" x14ac:dyDescent="0.3">
      <c r="A3264" t="s">
        <v>4486</v>
      </c>
      <c r="B3264" t="s">
        <v>363</v>
      </c>
    </row>
    <row r="3265" spans="1:2" x14ac:dyDescent="0.3">
      <c r="A3265" t="s">
        <v>3326</v>
      </c>
      <c r="B3265" t="s">
        <v>363</v>
      </c>
    </row>
    <row r="3266" spans="1:2" x14ac:dyDescent="0.3">
      <c r="A3266" t="s">
        <v>2722</v>
      </c>
      <c r="B3266" t="s">
        <v>363</v>
      </c>
    </row>
    <row r="3267" spans="1:2" x14ac:dyDescent="0.3">
      <c r="A3267" t="s">
        <v>368</v>
      </c>
      <c r="B3267" t="s">
        <v>363</v>
      </c>
    </row>
    <row r="3268" spans="1:2" x14ac:dyDescent="0.3">
      <c r="A3268" t="s">
        <v>4487</v>
      </c>
      <c r="B3268" t="s">
        <v>363</v>
      </c>
    </row>
    <row r="3269" spans="1:2" x14ac:dyDescent="0.3">
      <c r="A3269" t="s">
        <v>4587</v>
      </c>
      <c r="B3269" t="s">
        <v>363</v>
      </c>
    </row>
    <row r="3270" spans="1:2" x14ac:dyDescent="0.3">
      <c r="A3270" t="s">
        <v>2498</v>
      </c>
      <c r="B3270" t="s">
        <v>363</v>
      </c>
    </row>
    <row r="3271" spans="1:2" x14ac:dyDescent="0.3">
      <c r="A3271" t="s">
        <v>1552</v>
      </c>
      <c r="B3271" t="s">
        <v>363</v>
      </c>
    </row>
    <row r="3272" spans="1:2" x14ac:dyDescent="0.3">
      <c r="A3272" t="s">
        <v>2502</v>
      </c>
      <c r="B3272" t="s">
        <v>363</v>
      </c>
    </row>
    <row r="3273" spans="1:2" x14ac:dyDescent="0.3">
      <c r="A3273" t="s">
        <v>4488</v>
      </c>
      <c r="B3273" t="s">
        <v>363</v>
      </c>
    </row>
    <row r="3274" spans="1:2" x14ac:dyDescent="0.3">
      <c r="A3274" t="s">
        <v>4588</v>
      </c>
      <c r="B3274" t="s">
        <v>363</v>
      </c>
    </row>
    <row r="3275" spans="1:2" x14ac:dyDescent="0.3">
      <c r="A3275" t="s">
        <v>2757</v>
      </c>
      <c r="B3275" t="s">
        <v>116</v>
      </c>
    </row>
    <row r="3276" spans="1:2" x14ac:dyDescent="0.3">
      <c r="A3276" t="s">
        <v>2981</v>
      </c>
      <c r="B3276" t="s">
        <v>363</v>
      </c>
    </row>
    <row r="3277" spans="1:2" x14ac:dyDescent="0.3">
      <c r="A3277" t="s">
        <v>2485</v>
      </c>
      <c r="B3277" t="s">
        <v>363</v>
      </c>
    </row>
    <row r="3278" spans="1:2" x14ac:dyDescent="0.3">
      <c r="A3278" t="s">
        <v>4788</v>
      </c>
      <c r="B3278" t="s">
        <v>363</v>
      </c>
    </row>
    <row r="3279" spans="1:2" x14ac:dyDescent="0.3">
      <c r="A3279" t="s">
        <v>2723</v>
      </c>
      <c r="B3279" t="s">
        <v>363</v>
      </c>
    </row>
    <row r="3280" spans="1:2" x14ac:dyDescent="0.3">
      <c r="A3280" t="s">
        <v>4589</v>
      </c>
      <c r="B3280" t="s">
        <v>363</v>
      </c>
    </row>
    <row r="3281" spans="1:2" x14ac:dyDescent="0.3">
      <c r="A3281" t="s">
        <v>4590</v>
      </c>
      <c r="B3281" t="s">
        <v>363</v>
      </c>
    </row>
    <row r="3282" spans="1:2" x14ac:dyDescent="0.3">
      <c r="A3282" t="s">
        <v>902</v>
      </c>
      <c r="B3282" t="s">
        <v>363</v>
      </c>
    </row>
    <row r="3283" spans="1:2" x14ac:dyDescent="0.3">
      <c r="A3283" t="s">
        <v>4591</v>
      </c>
      <c r="B3283" t="s">
        <v>363</v>
      </c>
    </row>
    <row r="3284" spans="1:2" x14ac:dyDescent="0.3">
      <c r="A3284" t="s">
        <v>4376</v>
      </c>
      <c r="B3284" t="s">
        <v>363</v>
      </c>
    </row>
    <row r="3285" spans="1:2" x14ac:dyDescent="0.3">
      <c r="A3285" t="s">
        <v>4541</v>
      </c>
      <c r="B3285" t="s">
        <v>363</v>
      </c>
    </row>
    <row r="3286" spans="1:2" x14ac:dyDescent="0.3">
      <c r="A3286" t="s">
        <v>4622</v>
      </c>
      <c r="B3286" t="s">
        <v>363</v>
      </c>
    </row>
    <row r="3287" spans="1:2" x14ac:dyDescent="0.3">
      <c r="A3287" t="s">
        <v>4489</v>
      </c>
      <c r="B3287" t="s">
        <v>363</v>
      </c>
    </row>
    <row r="3288" spans="1:2" x14ac:dyDescent="0.3">
      <c r="A3288" t="s">
        <v>4427</v>
      </c>
      <c r="B3288" t="s">
        <v>363</v>
      </c>
    </row>
    <row r="3289" spans="1:2" x14ac:dyDescent="0.3">
      <c r="A3289" t="s">
        <v>4425</v>
      </c>
      <c r="B3289" t="s">
        <v>363</v>
      </c>
    </row>
    <row r="3290" spans="1:2" x14ac:dyDescent="0.3">
      <c r="A3290" t="s">
        <v>4426</v>
      </c>
      <c r="B3290" t="s">
        <v>363</v>
      </c>
    </row>
    <row r="3291" spans="1:2" x14ac:dyDescent="0.3">
      <c r="A3291" t="s">
        <v>4365</v>
      </c>
      <c r="B3291" t="s">
        <v>363</v>
      </c>
    </row>
    <row r="3292" spans="1:2" x14ac:dyDescent="0.3">
      <c r="A3292" t="s">
        <v>4490</v>
      </c>
      <c r="B3292" t="s">
        <v>154</v>
      </c>
    </row>
    <row r="3293" spans="1:2" x14ac:dyDescent="0.3">
      <c r="A3293" t="s">
        <v>2799</v>
      </c>
      <c r="B3293" t="s">
        <v>108</v>
      </c>
    </row>
    <row r="3294" spans="1:2" x14ac:dyDescent="0.3">
      <c r="A3294" t="s">
        <v>148</v>
      </c>
      <c r="B3294" t="s">
        <v>149</v>
      </c>
    </row>
    <row r="3295" spans="1:2" x14ac:dyDescent="0.3">
      <c r="A3295" t="s">
        <v>4616</v>
      </c>
      <c r="B3295" t="s">
        <v>1277</v>
      </c>
    </row>
    <row r="3296" spans="1:2" x14ac:dyDescent="0.3">
      <c r="A3296" t="s">
        <v>2639</v>
      </c>
      <c r="B3296" t="s">
        <v>2640</v>
      </c>
    </row>
    <row r="3297" spans="1:2" x14ac:dyDescent="0.3">
      <c r="A3297" t="s">
        <v>3373</v>
      </c>
      <c r="B3297" t="s">
        <v>3374</v>
      </c>
    </row>
    <row r="3298" spans="1:2" x14ac:dyDescent="0.3">
      <c r="A3298" t="s">
        <v>671</v>
      </c>
      <c r="B3298" t="s">
        <v>672</v>
      </c>
    </row>
    <row r="3299" spans="1:2" x14ac:dyDescent="0.3">
      <c r="A3299" t="s">
        <v>673</v>
      </c>
      <c r="B3299" t="s">
        <v>672</v>
      </c>
    </row>
    <row r="3300" spans="1:2" x14ac:dyDescent="0.3">
      <c r="A3300" t="s">
        <v>503</v>
      </c>
      <c r="B3300" t="s">
        <v>22</v>
      </c>
    </row>
    <row r="3301" spans="1:2" x14ac:dyDescent="0.3">
      <c r="A3301" t="s">
        <v>1470</v>
      </c>
      <c r="B3301" t="s">
        <v>22</v>
      </c>
    </row>
    <row r="3302" spans="1:2" x14ac:dyDescent="0.3">
      <c r="A3302" t="s">
        <v>1469</v>
      </c>
      <c r="B3302" t="s">
        <v>22</v>
      </c>
    </row>
    <row r="3303" spans="1:2" x14ac:dyDescent="0.3">
      <c r="A3303" t="s">
        <v>2705</v>
      </c>
      <c r="B3303" t="s">
        <v>2706</v>
      </c>
    </row>
    <row r="3304" spans="1:2" x14ac:dyDescent="0.3">
      <c r="A3304" t="s">
        <v>1756</v>
      </c>
      <c r="B3304" t="s">
        <v>22</v>
      </c>
    </row>
    <row r="3305" spans="1:2" x14ac:dyDescent="0.3">
      <c r="A3305" t="s">
        <v>1757</v>
      </c>
      <c r="B3305" t="s">
        <v>22</v>
      </c>
    </row>
    <row r="3306" spans="1:2" x14ac:dyDescent="0.3">
      <c r="A3306" t="s">
        <v>4817</v>
      </c>
      <c r="B3306" t="s">
        <v>4818</v>
      </c>
    </row>
    <row r="3307" spans="1:2" x14ac:dyDescent="0.3">
      <c r="A3307" t="s">
        <v>4820</v>
      </c>
      <c r="B3307" t="s">
        <v>22</v>
      </c>
    </row>
    <row r="3308" spans="1:2" x14ac:dyDescent="0.3">
      <c r="A3308" t="s">
        <v>736</v>
      </c>
      <c r="B3308" t="s">
        <v>22</v>
      </c>
    </row>
    <row r="3309" spans="1:2" x14ac:dyDescent="0.3">
      <c r="A3309" t="s">
        <v>737</v>
      </c>
      <c r="B3309" t="s">
        <v>22</v>
      </c>
    </row>
    <row r="3310" spans="1:2" x14ac:dyDescent="0.3">
      <c r="A3310" t="s">
        <v>4819</v>
      </c>
      <c r="B3310" t="s">
        <v>22</v>
      </c>
    </row>
    <row r="3311" spans="1:2" x14ac:dyDescent="0.3">
      <c r="A3311" t="s">
        <v>738</v>
      </c>
      <c r="B3311" t="s">
        <v>22</v>
      </c>
    </row>
    <row r="3312" spans="1:2" x14ac:dyDescent="0.3">
      <c r="A3312" t="s">
        <v>4335</v>
      </c>
      <c r="B3312" t="s">
        <v>22</v>
      </c>
    </row>
    <row r="3313" spans="1:2" x14ac:dyDescent="0.3">
      <c r="A3313" t="s">
        <v>1936</v>
      </c>
      <c r="B3313" t="s">
        <v>20</v>
      </c>
    </row>
    <row r="3314" spans="1:2" x14ac:dyDescent="0.3">
      <c r="A3314" t="s">
        <v>2724</v>
      </c>
      <c r="B3314" t="s">
        <v>363</v>
      </c>
    </row>
    <row r="3315" spans="1:2" x14ac:dyDescent="0.3">
      <c r="A3315" t="s">
        <v>1648</v>
      </c>
      <c r="B3315" t="s">
        <v>1649</v>
      </c>
    </row>
    <row r="3316" spans="1:2" x14ac:dyDescent="0.3">
      <c r="A3316" t="s">
        <v>3171</v>
      </c>
      <c r="B3316" t="s">
        <v>3172</v>
      </c>
    </row>
    <row r="3317" spans="1:2" x14ac:dyDescent="0.3">
      <c r="A3317" t="s">
        <v>3123</v>
      </c>
      <c r="B3317" t="s">
        <v>22</v>
      </c>
    </row>
    <row r="3318" spans="1:2" x14ac:dyDescent="0.3">
      <c r="A3318" t="s">
        <v>3786</v>
      </c>
      <c r="B3318" t="s">
        <v>22</v>
      </c>
    </row>
    <row r="3319" spans="1:2" x14ac:dyDescent="0.3">
      <c r="A3319" t="s">
        <v>3785</v>
      </c>
      <c r="B3319" t="s">
        <v>22</v>
      </c>
    </row>
    <row r="3320" spans="1:2" x14ac:dyDescent="0.3">
      <c r="A3320" t="s">
        <v>4715</v>
      </c>
      <c r="B3320" t="s">
        <v>22</v>
      </c>
    </row>
    <row r="3321" spans="1:2" x14ac:dyDescent="0.3">
      <c r="A3321" t="s">
        <v>2954</v>
      </c>
      <c r="B3321" t="s">
        <v>18</v>
      </c>
    </row>
    <row r="3322" spans="1:2" x14ac:dyDescent="0.3">
      <c r="A3322" t="s">
        <v>2778</v>
      </c>
      <c r="B3322" t="s">
        <v>22</v>
      </c>
    </row>
    <row r="3323" spans="1:2" x14ac:dyDescent="0.3">
      <c r="A3323" t="s">
        <v>3604</v>
      </c>
      <c r="B3323" t="s">
        <v>893</v>
      </c>
    </row>
    <row r="3324" spans="1:2" x14ac:dyDescent="0.3">
      <c r="A3324" t="s">
        <v>4407</v>
      </c>
      <c r="B3324" t="s">
        <v>4408</v>
      </c>
    </row>
    <row r="3325" spans="1:2" x14ac:dyDescent="0.3">
      <c r="A3325" t="s">
        <v>4542</v>
      </c>
      <c r="B3325" t="s">
        <v>4408</v>
      </c>
    </row>
    <row r="3326" spans="1:2" x14ac:dyDescent="0.3">
      <c r="A3326" t="s">
        <v>903</v>
      </c>
      <c r="B3326" t="s">
        <v>246</v>
      </c>
    </row>
    <row r="3327" spans="1:2" x14ac:dyDescent="0.3">
      <c r="A3327" t="s">
        <v>380</v>
      </c>
      <c r="B3327" t="s">
        <v>129</v>
      </c>
    </row>
    <row r="3328" spans="1:2" x14ac:dyDescent="0.3">
      <c r="A3328" t="s">
        <v>904</v>
      </c>
      <c r="B3328" t="s">
        <v>246</v>
      </c>
    </row>
    <row r="3329" spans="1:2" x14ac:dyDescent="0.3">
      <c r="A3329" t="s">
        <v>639</v>
      </c>
      <c r="B3329" t="s">
        <v>246</v>
      </c>
    </row>
    <row r="3330" spans="1:2" x14ac:dyDescent="0.3">
      <c r="A3330" t="s">
        <v>651</v>
      </c>
      <c r="B3330" t="s">
        <v>246</v>
      </c>
    </row>
    <row r="3331" spans="1:2" x14ac:dyDescent="0.3">
      <c r="A3331" t="s">
        <v>569</v>
      </c>
      <c r="B3331" t="s">
        <v>246</v>
      </c>
    </row>
    <row r="3332" spans="1:2" x14ac:dyDescent="0.3">
      <c r="A3332" t="s">
        <v>652</v>
      </c>
      <c r="B3332" t="s">
        <v>246</v>
      </c>
    </row>
    <row r="3333" spans="1:2" x14ac:dyDescent="0.3">
      <c r="A3333" t="s">
        <v>653</v>
      </c>
      <c r="B3333" t="s">
        <v>246</v>
      </c>
    </row>
    <row r="3334" spans="1:2" x14ac:dyDescent="0.3">
      <c r="A3334" t="s">
        <v>654</v>
      </c>
      <c r="B3334" t="s">
        <v>246</v>
      </c>
    </row>
    <row r="3335" spans="1:2" x14ac:dyDescent="0.3">
      <c r="A3335" t="s">
        <v>655</v>
      </c>
      <c r="B3335" t="s">
        <v>246</v>
      </c>
    </row>
    <row r="3336" spans="1:2" x14ac:dyDescent="0.3">
      <c r="A3336" t="s">
        <v>656</v>
      </c>
      <c r="B3336" t="s">
        <v>246</v>
      </c>
    </row>
    <row r="3337" spans="1:2" x14ac:dyDescent="0.3">
      <c r="A3337" t="s">
        <v>4374</v>
      </c>
      <c r="B3337" t="s">
        <v>246</v>
      </c>
    </row>
    <row r="3338" spans="1:2" x14ac:dyDescent="0.3">
      <c r="A3338" t="s">
        <v>4543</v>
      </c>
      <c r="B3338" t="s">
        <v>246</v>
      </c>
    </row>
    <row r="3339" spans="1:2" x14ac:dyDescent="0.3">
      <c r="A3339" t="s">
        <v>669</v>
      </c>
      <c r="B3339" t="s">
        <v>659</v>
      </c>
    </row>
    <row r="3340" spans="1:2" x14ac:dyDescent="0.3">
      <c r="A3340" t="s">
        <v>670</v>
      </c>
      <c r="B3340" t="s">
        <v>659</v>
      </c>
    </row>
    <row r="3341" spans="1:2" x14ac:dyDescent="0.3">
      <c r="A3341" t="s">
        <v>667</v>
      </c>
      <c r="B3341" t="s">
        <v>659</v>
      </c>
    </row>
    <row r="3342" spans="1:2" x14ac:dyDescent="0.3">
      <c r="A3342" t="s">
        <v>668</v>
      </c>
      <c r="B3342" t="s">
        <v>659</v>
      </c>
    </row>
    <row r="3343" spans="1:2" x14ac:dyDescent="0.3">
      <c r="A3343" t="s">
        <v>3582</v>
      </c>
      <c r="B3343" t="s">
        <v>659</v>
      </c>
    </row>
    <row r="3344" spans="1:2" x14ac:dyDescent="0.3">
      <c r="A3344" t="s">
        <v>3545</v>
      </c>
      <c r="B3344" t="s">
        <v>659</v>
      </c>
    </row>
    <row r="3345" spans="1:2" x14ac:dyDescent="0.3">
      <c r="A3345" t="s">
        <v>3581</v>
      </c>
      <c r="B3345" t="s">
        <v>659</v>
      </c>
    </row>
    <row r="3346" spans="1:2" x14ac:dyDescent="0.3">
      <c r="A3346" t="s">
        <v>665</v>
      </c>
      <c r="B3346" t="s">
        <v>659</v>
      </c>
    </row>
    <row r="3347" spans="1:2" x14ac:dyDescent="0.3">
      <c r="A3347" t="s">
        <v>4491</v>
      </c>
      <c r="B3347" t="s">
        <v>4492</v>
      </c>
    </row>
    <row r="3348" spans="1:2" x14ac:dyDescent="0.3">
      <c r="A3348" t="s">
        <v>4493</v>
      </c>
      <c r="B3348" t="s">
        <v>4492</v>
      </c>
    </row>
    <row r="3349" spans="1:2" x14ac:dyDescent="0.3">
      <c r="A3349" t="s">
        <v>666</v>
      </c>
      <c r="B3349" t="s">
        <v>659</v>
      </c>
    </row>
    <row r="3350" spans="1:2" x14ac:dyDescent="0.3">
      <c r="A3350" t="s">
        <v>4494</v>
      </c>
      <c r="B3350" t="s">
        <v>246</v>
      </c>
    </row>
    <row r="3351" spans="1:2" x14ac:dyDescent="0.3">
      <c r="A3351" t="s">
        <v>4495</v>
      </c>
      <c r="B3351" t="s">
        <v>4492</v>
      </c>
    </row>
    <row r="3352" spans="1:2" x14ac:dyDescent="0.3">
      <c r="A3352" t="s">
        <v>4566</v>
      </c>
      <c r="B3352" t="s">
        <v>246</v>
      </c>
    </row>
    <row r="3353" spans="1:2" x14ac:dyDescent="0.3">
      <c r="A3353" t="s">
        <v>4784</v>
      </c>
      <c r="B3353" t="s">
        <v>246</v>
      </c>
    </row>
    <row r="3354" spans="1:2" x14ac:dyDescent="0.3">
      <c r="A3354" t="s">
        <v>3646</v>
      </c>
      <c r="B3354" t="s">
        <v>246</v>
      </c>
    </row>
    <row r="3355" spans="1:2" x14ac:dyDescent="0.3">
      <c r="A3355" t="s">
        <v>4366</v>
      </c>
      <c r="B3355" t="s">
        <v>246</v>
      </c>
    </row>
    <row r="3356" spans="1:2" x14ac:dyDescent="0.3">
      <c r="A3356" t="s">
        <v>4597</v>
      </c>
      <c r="B3356" t="s">
        <v>659</v>
      </c>
    </row>
    <row r="3357" spans="1:2" x14ac:dyDescent="0.3">
      <c r="A3357" t="s">
        <v>4497</v>
      </c>
      <c r="B3357" t="s">
        <v>659</v>
      </c>
    </row>
    <row r="3358" spans="1:2" x14ac:dyDescent="0.3">
      <c r="A3358" t="s">
        <v>4496</v>
      </c>
      <c r="B3358" t="s">
        <v>246</v>
      </c>
    </row>
    <row r="3359" spans="1:2" x14ac:dyDescent="0.3">
      <c r="A3359" t="s">
        <v>4592</v>
      </c>
      <c r="B3359" t="s">
        <v>659</v>
      </c>
    </row>
    <row r="3360" spans="1:2" x14ac:dyDescent="0.3">
      <c r="A3360" t="s">
        <v>4111</v>
      </c>
      <c r="B3360" t="s">
        <v>4112</v>
      </c>
    </row>
    <row r="3361" spans="1:2" x14ac:dyDescent="0.3">
      <c r="A3361" t="s">
        <v>657</v>
      </c>
      <c r="B3361" t="s">
        <v>246</v>
      </c>
    </row>
    <row r="3362" spans="1:2" x14ac:dyDescent="0.3">
      <c r="A3362" t="s">
        <v>4113</v>
      </c>
      <c r="B3362" t="s">
        <v>188</v>
      </c>
    </row>
    <row r="3363" spans="1:2" x14ac:dyDescent="0.3">
      <c r="A3363" t="s">
        <v>2495</v>
      </c>
      <c r="B3363" t="s">
        <v>188</v>
      </c>
    </row>
    <row r="3364" spans="1:2" x14ac:dyDescent="0.3">
      <c r="A3364" t="s">
        <v>1117</v>
      </c>
      <c r="B3364" t="s">
        <v>188</v>
      </c>
    </row>
    <row r="3365" spans="1:2" x14ac:dyDescent="0.3">
      <c r="A3365" t="s">
        <v>911</v>
      </c>
      <c r="B3365" t="s">
        <v>912</v>
      </c>
    </row>
    <row r="3366" spans="1:2" x14ac:dyDescent="0.3">
      <c r="A3366" t="s">
        <v>2230</v>
      </c>
      <c r="B3366" t="s">
        <v>366</v>
      </c>
    </row>
    <row r="3367" spans="1:2" x14ac:dyDescent="0.3">
      <c r="A3367" t="s">
        <v>661</v>
      </c>
      <c r="B3367" t="s">
        <v>662</v>
      </c>
    </row>
    <row r="3368" spans="1:2" x14ac:dyDescent="0.3">
      <c r="A3368" t="s">
        <v>664</v>
      </c>
      <c r="B3368" t="s">
        <v>662</v>
      </c>
    </row>
    <row r="3369" spans="1:2" x14ac:dyDescent="0.3">
      <c r="A3369" t="s">
        <v>663</v>
      </c>
      <c r="B3369" t="s">
        <v>662</v>
      </c>
    </row>
    <row r="3370" spans="1:2" x14ac:dyDescent="0.3">
      <c r="A3370" t="s">
        <v>4409</v>
      </c>
      <c r="B3370" t="s">
        <v>151</v>
      </c>
    </row>
    <row r="3371" spans="1:2" x14ac:dyDescent="0.3">
      <c r="A3371" t="s">
        <v>4075</v>
      </c>
      <c r="B3371" t="s">
        <v>151</v>
      </c>
    </row>
    <row r="3372" spans="1:2" x14ac:dyDescent="0.3">
      <c r="A3372" t="s">
        <v>2034</v>
      </c>
      <c r="B3372" t="s">
        <v>151</v>
      </c>
    </row>
    <row r="3373" spans="1:2" x14ac:dyDescent="0.3">
      <c r="A3373" t="s">
        <v>4411</v>
      </c>
      <c r="B3373" t="s">
        <v>4412</v>
      </c>
    </row>
    <row r="3374" spans="1:2" x14ac:dyDescent="0.3">
      <c r="A3374" t="s">
        <v>2716</v>
      </c>
      <c r="B3374" t="s">
        <v>2717</v>
      </c>
    </row>
    <row r="3375" spans="1:2" x14ac:dyDescent="0.3">
      <c r="A3375" t="s">
        <v>954</v>
      </c>
      <c r="B3375" t="s">
        <v>175</v>
      </c>
    </row>
    <row r="3376" spans="1:2" x14ac:dyDescent="0.3">
      <c r="A3376" t="s">
        <v>953</v>
      </c>
      <c r="B3376" t="s">
        <v>175</v>
      </c>
    </row>
    <row r="3377" spans="1:2" x14ac:dyDescent="0.3">
      <c r="A3377" t="s">
        <v>2851</v>
      </c>
      <c r="B3377" t="s">
        <v>175</v>
      </c>
    </row>
    <row r="3378" spans="1:2" x14ac:dyDescent="0.3">
      <c r="A3378" t="s">
        <v>1977</v>
      </c>
      <c r="B3378" t="s">
        <v>175</v>
      </c>
    </row>
    <row r="3379" spans="1:2" x14ac:dyDescent="0.3">
      <c r="A3379" t="s">
        <v>4434</v>
      </c>
      <c r="B3379" t="s">
        <v>4435</v>
      </c>
    </row>
    <row r="3380" spans="1:2" x14ac:dyDescent="0.3">
      <c r="A3380" t="s">
        <v>2712</v>
      </c>
      <c r="B3380" t="s">
        <v>175</v>
      </c>
    </row>
    <row r="3381" spans="1:2" x14ac:dyDescent="0.3">
      <c r="A3381" t="s">
        <v>4544</v>
      </c>
      <c r="B3381" t="s">
        <v>568</v>
      </c>
    </row>
    <row r="3382" spans="1:2" x14ac:dyDescent="0.3">
      <c r="A3382" t="s">
        <v>2984</v>
      </c>
      <c r="B3382" t="s">
        <v>568</v>
      </c>
    </row>
    <row r="3383" spans="1:2" x14ac:dyDescent="0.3">
      <c r="A3383" t="s">
        <v>636</v>
      </c>
      <c r="B3383" t="s">
        <v>568</v>
      </c>
    </row>
    <row r="3384" spans="1:2" x14ac:dyDescent="0.3">
      <c r="A3384" t="s">
        <v>2982</v>
      </c>
      <c r="B3384" t="s">
        <v>568</v>
      </c>
    </row>
    <row r="3385" spans="1:2" x14ac:dyDescent="0.3">
      <c r="A3385" t="s">
        <v>2983</v>
      </c>
      <c r="B3385" t="s">
        <v>568</v>
      </c>
    </row>
    <row r="3386" spans="1:2" x14ac:dyDescent="0.3">
      <c r="A3386" t="s">
        <v>4545</v>
      </c>
      <c r="B3386" t="s">
        <v>568</v>
      </c>
    </row>
    <row r="3387" spans="1:2" x14ac:dyDescent="0.3">
      <c r="A3387" t="s">
        <v>4546</v>
      </c>
      <c r="B3387" t="s">
        <v>568</v>
      </c>
    </row>
    <row r="3388" spans="1:2" x14ac:dyDescent="0.3">
      <c r="A3388" t="s">
        <v>4530</v>
      </c>
      <c r="B3388" t="s">
        <v>568</v>
      </c>
    </row>
    <row r="3389" spans="1:2" x14ac:dyDescent="0.3">
      <c r="A3389" t="s">
        <v>4436</v>
      </c>
      <c r="B3389" t="s">
        <v>116</v>
      </c>
    </row>
    <row r="3390" spans="1:2" x14ac:dyDescent="0.3">
      <c r="A3390" t="s">
        <v>2725</v>
      </c>
      <c r="B3390" t="s">
        <v>363</v>
      </c>
    </row>
    <row r="3391" spans="1:2" x14ac:dyDescent="0.3">
      <c r="A3391" t="s">
        <v>2963</v>
      </c>
      <c r="B3391" t="s">
        <v>116</v>
      </c>
    </row>
    <row r="3392" spans="1:2" x14ac:dyDescent="0.3">
      <c r="A3392" t="s">
        <v>1786</v>
      </c>
      <c r="B3392" t="s">
        <v>1414</v>
      </c>
    </row>
    <row r="3393" spans="1:2" x14ac:dyDescent="0.3">
      <c r="A3393" t="s">
        <v>679</v>
      </c>
    </row>
    <row r="3394" spans="1:2" x14ac:dyDescent="0.3">
      <c r="A3394" t="s">
        <v>2505</v>
      </c>
      <c r="B3394" t="s">
        <v>1414</v>
      </c>
    </row>
    <row r="3395" spans="1:2" x14ac:dyDescent="0.3">
      <c r="A3395" t="s">
        <v>4514</v>
      </c>
      <c r="B3395" t="s">
        <v>1414</v>
      </c>
    </row>
    <row r="3396" spans="1:2" x14ac:dyDescent="0.3">
      <c r="A3396" t="s">
        <v>1937</v>
      </c>
      <c r="B3396" t="s">
        <v>116</v>
      </c>
    </row>
    <row r="3397" spans="1:2" x14ac:dyDescent="0.3">
      <c r="A3397" t="s">
        <v>4352</v>
      </c>
      <c r="B3397" t="s">
        <v>2997</v>
      </c>
    </row>
    <row r="3398" spans="1:2" x14ac:dyDescent="0.3">
      <c r="A3398" t="s">
        <v>2996</v>
      </c>
      <c r="B3398" t="s">
        <v>2997</v>
      </c>
    </row>
    <row r="3399" spans="1:2" x14ac:dyDescent="0.3">
      <c r="A3399" t="s">
        <v>2886</v>
      </c>
      <c r="B3399" t="s">
        <v>13</v>
      </c>
    </row>
    <row r="3400" spans="1:2" x14ac:dyDescent="0.3">
      <c r="A3400" t="s">
        <v>4576</v>
      </c>
      <c r="B3400" t="s">
        <v>4577</v>
      </c>
    </row>
    <row r="3401" spans="1:2" x14ac:dyDescent="0.3">
      <c r="A3401" t="s">
        <v>2633</v>
      </c>
      <c r="B3401" t="s">
        <v>1554</v>
      </c>
    </row>
    <row r="3402" spans="1:2" x14ac:dyDescent="0.3">
      <c r="A3402" t="s">
        <v>1553</v>
      </c>
      <c r="B3402" t="s">
        <v>1554</v>
      </c>
    </row>
    <row r="3403" spans="1:2" x14ac:dyDescent="0.3">
      <c r="A3403" t="s">
        <v>2634</v>
      </c>
      <c r="B3403" t="s">
        <v>1554</v>
      </c>
    </row>
    <row r="3404" spans="1:2" x14ac:dyDescent="0.3">
      <c r="A3404" t="s">
        <v>2682</v>
      </c>
      <c r="B3404" t="s">
        <v>1554</v>
      </c>
    </row>
    <row r="3405" spans="1:2" x14ac:dyDescent="0.3">
      <c r="A3405" t="s">
        <v>2635</v>
      </c>
      <c r="B3405" t="s">
        <v>1554</v>
      </c>
    </row>
    <row r="3406" spans="1:2" x14ac:dyDescent="0.3">
      <c r="A3406" t="s">
        <v>2501</v>
      </c>
      <c r="B3406" t="s">
        <v>1554</v>
      </c>
    </row>
    <row r="3407" spans="1:2" x14ac:dyDescent="0.3">
      <c r="A3407" t="s">
        <v>4437</v>
      </c>
      <c r="B3407" t="s">
        <v>353</v>
      </c>
    </row>
    <row r="3408" spans="1:2" x14ac:dyDescent="0.3">
      <c r="A3408" t="s">
        <v>4438</v>
      </c>
      <c r="B3408" t="s">
        <v>353</v>
      </c>
    </row>
    <row r="3409" spans="1:2" x14ac:dyDescent="0.3">
      <c r="A3409" t="s">
        <v>4326</v>
      </c>
      <c r="B3409" t="s">
        <v>353</v>
      </c>
    </row>
    <row r="3410" spans="1:2" x14ac:dyDescent="0.3">
      <c r="A3410" t="s">
        <v>4377</v>
      </c>
      <c r="B3410" t="s">
        <v>4378</v>
      </c>
    </row>
    <row r="3411" spans="1:2" x14ac:dyDescent="0.3">
      <c r="A3411" t="s">
        <v>2499</v>
      </c>
      <c r="B3411" t="s">
        <v>353</v>
      </c>
    </row>
    <row r="3412" spans="1:2" x14ac:dyDescent="0.3">
      <c r="A3412" t="s">
        <v>4439</v>
      </c>
      <c r="B3412" t="s">
        <v>353</v>
      </c>
    </row>
    <row r="3413" spans="1:2" x14ac:dyDescent="0.3">
      <c r="A3413" t="s">
        <v>2276</v>
      </c>
      <c r="B3413" t="s">
        <v>2277</v>
      </c>
    </row>
    <row r="3414" spans="1:2" x14ac:dyDescent="0.3">
      <c r="A3414" t="s">
        <v>3819</v>
      </c>
      <c r="B3414" t="s">
        <v>3820</v>
      </c>
    </row>
    <row r="3415" spans="1:2" x14ac:dyDescent="0.3">
      <c r="A3415" t="s">
        <v>3823</v>
      </c>
      <c r="B3415" t="s">
        <v>3824</v>
      </c>
    </row>
    <row r="3416" spans="1:2" x14ac:dyDescent="0.3">
      <c r="A3416" t="s">
        <v>3638</v>
      </c>
      <c r="B3416" t="s">
        <v>3639</v>
      </c>
    </row>
    <row r="3417" spans="1:2" x14ac:dyDescent="0.3">
      <c r="A3417" t="s">
        <v>3285</v>
      </c>
      <c r="B3417" t="s">
        <v>119</v>
      </c>
    </row>
    <row r="3418" spans="1:2" x14ac:dyDescent="0.3">
      <c r="A3418" t="s">
        <v>4523</v>
      </c>
      <c r="B3418" t="s">
        <v>4524</v>
      </c>
    </row>
    <row r="3419" spans="1:2" x14ac:dyDescent="0.3">
      <c r="A3419" t="s">
        <v>3242</v>
      </c>
      <c r="B3419" t="s">
        <v>3243</v>
      </c>
    </row>
    <row r="3420" spans="1:2" x14ac:dyDescent="0.3">
      <c r="A3420" t="s">
        <v>2736</v>
      </c>
      <c r="B3420" t="s">
        <v>2737</v>
      </c>
    </row>
    <row r="3421" spans="1:2" x14ac:dyDescent="0.3">
      <c r="A3421" t="s">
        <v>1621</v>
      </c>
      <c r="B3421" t="s">
        <v>824</v>
      </c>
    </row>
    <row r="3422" spans="1:2" x14ac:dyDescent="0.3">
      <c r="A3422" t="s">
        <v>1622</v>
      </c>
      <c r="B3422" t="s">
        <v>824</v>
      </c>
    </row>
    <row r="3423" spans="1:2" x14ac:dyDescent="0.3">
      <c r="A3423" t="s">
        <v>3958</v>
      </c>
      <c r="B3423" t="s">
        <v>22</v>
      </c>
    </row>
    <row r="3424" spans="1:2" x14ac:dyDescent="0.3">
      <c r="A3424" t="s">
        <v>2748</v>
      </c>
      <c r="B3424" t="s">
        <v>22</v>
      </c>
    </row>
    <row r="3425" spans="1:2" x14ac:dyDescent="0.3">
      <c r="A3425" t="s">
        <v>2811</v>
      </c>
      <c r="B3425" t="s">
        <v>22</v>
      </c>
    </row>
    <row r="3426" spans="1:2" x14ac:dyDescent="0.3">
      <c r="A3426" t="s">
        <v>2750</v>
      </c>
      <c r="B3426" t="s">
        <v>22</v>
      </c>
    </row>
    <row r="3427" spans="1:2" x14ac:dyDescent="0.3">
      <c r="A3427" t="s">
        <v>2749</v>
      </c>
      <c r="B3427" t="s">
        <v>22</v>
      </c>
    </row>
    <row r="3428" spans="1:2" x14ac:dyDescent="0.3">
      <c r="A3428" t="s">
        <v>3962</v>
      </c>
      <c r="B3428" t="s">
        <v>1491</v>
      </c>
    </row>
    <row r="3429" spans="1:2" x14ac:dyDescent="0.3">
      <c r="A3429" t="s">
        <v>4303</v>
      </c>
      <c r="B3429" t="s">
        <v>1491</v>
      </c>
    </row>
    <row r="3430" spans="1:2" x14ac:dyDescent="0.3">
      <c r="A3430" t="s">
        <v>4078</v>
      </c>
      <c r="B3430" t="s">
        <v>1491</v>
      </c>
    </row>
    <row r="3431" spans="1:2" x14ac:dyDescent="0.3">
      <c r="A3431" t="s">
        <v>4375</v>
      </c>
      <c r="B3431" t="s">
        <v>1491</v>
      </c>
    </row>
    <row r="3432" spans="1:2" x14ac:dyDescent="0.3">
      <c r="A3432" t="s">
        <v>4079</v>
      </c>
      <c r="B3432" t="s">
        <v>1491</v>
      </c>
    </row>
    <row r="3433" spans="1:2" x14ac:dyDescent="0.3">
      <c r="A3433" t="s">
        <v>2272</v>
      </c>
      <c r="B3433" t="s">
        <v>2273</v>
      </c>
    </row>
    <row r="3434" spans="1:2" x14ac:dyDescent="0.3">
      <c r="A3434" t="s">
        <v>3020</v>
      </c>
      <c r="B3434" t="s">
        <v>3021</v>
      </c>
    </row>
    <row r="3435" spans="1:2" x14ac:dyDescent="0.3">
      <c r="A3435" t="s">
        <v>4440</v>
      </c>
      <c r="B3435" t="s">
        <v>391</v>
      </c>
    </row>
    <row r="3436" spans="1:2" x14ac:dyDescent="0.3">
      <c r="A3436" t="s">
        <v>900</v>
      </c>
      <c r="B3436" t="s">
        <v>132</v>
      </c>
    </row>
    <row r="3437" spans="1:2" x14ac:dyDescent="0.3">
      <c r="A3437" t="s">
        <v>865</v>
      </c>
      <c r="B3437" t="s">
        <v>13</v>
      </c>
    </row>
    <row r="3438" spans="1:2" x14ac:dyDescent="0.3">
      <c r="A3438" t="s">
        <v>817</v>
      </c>
      <c r="B3438" t="s">
        <v>470</v>
      </c>
    </row>
    <row r="3439" spans="1:2" x14ac:dyDescent="0.3">
      <c r="A3439" t="s">
        <v>866</v>
      </c>
      <c r="B3439" t="s">
        <v>13</v>
      </c>
    </row>
    <row r="3440" spans="1:2" x14ac:dyDescent="0.3">
      <c r="A3440" t="s">
        <v>4714</v>
      </c>
      <c r="B3440" t="s">
        <v>470</v>
      </c>
    </row>
    <row r="3441" spans="1:2" x14ac:dyDescent="0.3">
      <c r="A3441" t="s">
        <v>527</v>
      </c>
    </row>
    <row r="3442" spans="1:2" x14ac:dyDescent="0.3">
      <c r="A3442" t="s">
        <v>528</v>
      </c>
    </row>
    <row r="3443" spans="1:2" x14ac:dyDescent="0.3">
      <c r="A3443" t="s">
        <v>1628</v>
      </c>
      <c r="B3443" t="s">
        <v>470</v>
      </c>
    </row>
    <row r="3444" spans="1:2" x14ac:dyDescent="0.3">
      <c r="A3444" t="s">
        <v>525</v>
      </c>
    </row>
    <row r="3445" spans="1:2" x14ac:dyDescent="0.3">
      <c r="A3445" t="s">
        <v>2001</v>
      </c>
      <c r="B3445" t="s">
        <v>470</v>
      </c>
    </row>
    <row r="3446" spans="1:2" x14ac:dyDescent="0.3">
      <c r="A3446" t="s">
        <v>526</v>
      </c>
    </row>
    <row r="3447" spans="1:2" x14ac:dyDescent="0.3">
      <c r="A3447" t="s">
        <v>4107</v>
      </c>
      <c r="B3447" t="s">
        <v>13</v>
      </c>
    </row>
    <row r="3448" spans="1:2" x14ac:dyDescent="0.3">
      <c r="A3448" t="s">
        <v>2557</v>
      </c>
      <c r="B3448" t="s">
        <v>470</v>
      </c>
    </row>
    <row r="3449" spans="1:2" x14ac:dyDescent="0.3">
      <c r="A3449" t="s">
        <v>551</v>
      </c>
    </row>
    <row r="3450" spans="1:2" x14ac:dyDescent="0.3">
      <c r="A3450" t="s">
        <v>687</v>
      </c>
    </row>
    <row r="3451" spans="1:2" x14ac:dyDescent="0.3">
      <c r="A3451" t="s">
        <v>1981</v>
      </c>
      <c r="B3451" t="s">
        <v>470</v>
      </c>
    </row>
    <row r="3452" spans="1:2" x14ac:dyDescent="0.3">
      <c r="A3452" t="s">
        <v>1255</v>
      </c>
      <c r="B3452" t="s">
        <v>470</v>
      </c>
    </row>
    <row r="3453" spans="1:2" x14ac:dyDescent="0.3">
      <c r="A3453" t="s">
        <v>1656</v>
      </c>
      <c r="B3453" t="s">
        <v>470</v>
      </c>
    </row>
    <row r="3454" spans="1:2" x14ac:dyDescent="0.3">
      <c r="A3454" t="s">
        <v>1220</v>
      </c>
      <c r="B3454" t="s">
        <v>13</v>
      </c>
    </row>
    <row r="3455" spans="1:2" x14ac:dyDescent="0.3">
      <c r="A3455" t="s">
        <v>4088</v>
      </c>
      <c r="B3455" t="s">
        <v>4089</v>
      </c>
    </row>
    <row r="3456" spans="1:2" x14ac:dyDescent="0.3">
      <c r="A3456" t="s">
        <v>1979</v>
      </c>
      <c r="B3456" t="s">
        <v>1980</v>
      </c>
    </row>
    <row r="3457" spans="1:2" x14ac:dyDescent="0.3">
      <c r="A3457" t="s">
        <v>2171</v>
      </c>
      <c r="B3457" t="s">
        <v>175</v>
      </c>
    </row>
    <row r="3458" spans="1:2" x14ac:dyDescent="0.3">
      <c r="A3458" t="s">
        <v>3275</v>
      </c>
      <c r="B3458" t="s">
        <v>3276</v>
      </c>
    </row>
    <row r="3459" spans="1:2" x14ac:dyDescent="0.3">
      <c r="A3459" t="s">
        <v>3978</v>
      </c>
      <c r="B3459" t="s">
        <v>151</v>
      </c>
    </row>
    <row r="3460" spans="1:2" x14ac:dyDescent="0.3">
      <c r="A3460" t="s">
        <v>4134</v>
      </c>
      <c r="B3460" t="s">
        <v>4135</v>
      </c>
    </row>
    <row r="3461" spans="1:2" x14ac:dyDescent="0.3">
      <c r="A3461" t="s">
        <v>3788</v>
      </c>
      <c r="B3461" t="s">
        <v>3789</v>
      </c>
    </row>
    <row r="3462" spans="1:2" x14ac:dyDescent="0.3">
      <c r="A3462" t="s">
        <v>4364</v>
      </c>
      <c r="B3462" t="s">
        <v>4135</v>
      </c>
    </row>
    <row r="3463" spans="1:2" x14ac:dyDescent="0.3">
      <c r="A3463" t="s">
        <v>3904</v>
      </c>
      <c r="B3463" t="s">
        <v>3905</v>
      </c>
    </row>
    <row r="3464" spans="1:2" x14ac:dyDescent="0.3">
      <c r="A3464" t="s">
        <v>3940</v>
      </c>
      <c r="B3464" t="s">
        <v>3905</v>
      </c>
    </row>
    <row r="3465" spans="1:2" x14ac:dyDescent="0.3">
      <c r="A3465" t="s">
        <v>4406</v>
      </c>
      <c r="B3465" t="s">
        <v>3789</v>
      </c>
    </row>
    <row r="3466" spans="1:2" x14ac:dyDescent="0.3">
      <c r="A3466" t="s">
        <v>1567</v>
      </c>
      <c r="B3466" t="s">
        <v>1568</v>
      </c>
    </row>
    <row r="3467" spans="1:2" x14ac:dyDescent="0.3">
      <c r="A3467" t="s">
        <v>1831</v>
      </c>
      <c r="B3467" t="s">
        <v>1832</v>
      </c>
    </row>
    <row r="3468" spans="1:2" x14ac:dyDescent="0.3">
      <c r="A3468" t="s">
        <v>1710</v>
      </c>
      <c r="B3468" t="s">
        <v>1568</v>
      </c>
    </row>
    <row r="3469" spans="1:2" x14ac:dyDescent="0.3">
      <c r="A3469" t="s">
        <v>1707</v>
      </c>
      <c r="B3469" t="s">
        <v>1568</v>
      </c>
    </row>
    <row r="3470" spans="1:2" x14ac:dyDescent="0.3">
      <c r="A3470" t="s">
        <v>1569</v>
      </c>
      <c r="B3470" t="s">
        <v>1568</v>
      </c>
    </row>
    <row r="3471" spans="1:2" x14ac:dyDescent="0.3">
      <c r="A3471" t="s">
        <v>1762</v>
      </c>
      <c r="B3471" t="s">
        <v>1568</v>
      </c>
    </row>
    <row r="3472" spans="1:2" x14ac:dyDescent="0.3">
      <c r="A3472" t="s">
        <v>1278</v>
      </c>
      <c r="B3472" t="s">
        <v>1279</v>
      </c>
    </row>
    <row r="3473" spans="1:2" x14ac:dyDescent="0.3">
      <c r="A3473" t="s">
        <v>962</v>
      </c>
      <c r="B3473" t="s">
        <v>963</v>
      </c>
    </row>
    <row r="3474" spans="1:2" x14ac:dyDescent="0.3">
      <c r="A3474" t="s">
        <v>4102</v>
      </c>
      <c r="B3474" t="s">
        <v>2493</v>
      </c>
    </row>
    <row r="3475" spans="1:2" x14ac:dyDescent="0.3">
      <c r="A3475" t="s">
        <v>4084</v>
      </c>
      <c r="B3475" t="s">
        <v>4082</v>
      </c>
    </row>
    <row r="3476" spans="1:2" x14ac:dyDescent="0.3">
      <c r="A3476" t="s">
        <v>192</v>
      </c>
      <c r="B3476" t="s">
        <v>193</v>
      </c>
    </row>
    <row r="3477" spans="1:2" x14ac:dyDescent="0.3">
      <c r="A3477" t="s">
        <v>194</v>
      </c>
      <c r="B3477" t="s">
        <v>195</v>
      </c>
    </row>
    <row r="3478" spans="1:2" x14ac:dyDescent="0.3">
      <c r="A3478" t="s">
        <v>4083</v>
      </c>
      <c r="B3478" t="s">
        <v>4082</v>
      </c>
    </row>
    <row r="3479" spans="1:2" x14ac:dyDescent="0.3">
      <c r="A3479" t="s">
        <v>196</v>
      </c>
      <c r="B3479" t="s">
        <v>197</v>
      </c>
    </row>
    <row r="3480" spans="1:2" x14ac:dyDescent="0.3">
      <c r="A3480" t="s">
        <v>4081</v>
      </c>
      <c r="B3480" t="s">
        <v>4082</v>
      </c>
    </row>
    <row r="3481" spans="1:2" x14ac:dyDescent="0.3">
      <c r="A3481" t="s">
        <v>3408</v>
      </c>
      <c r="B3481" t="s">
        <v>3409</v>
      </c>
    </row>
    <row r="3482" spans="1:2" x14ac:dyDescent="0.3">
      <c r="A3482" t="s">
        <v>3605</v>
      </c>
      <c r="B3482" t="s">
        <v>13</v>
      </c>
    </row>
    <row r="3483" spans="1:2" x14ac:dyDescent="0.3">
      <c r="A3483" t="s">
        <v>940</v>
      </c>
      <c r="B3483" t="s">
        <v>941</v>
      </c>
    </row>
    <row r="3484" spans="1:2" x14ac:dyDescent="0.3">
      <c r="A3484" t="s">
        <v>1555</v>
      </c>
      <c r="B3484" t="s">
        <v>1556</v>
      </c>
    </row>
    <row r="3485" spans="1:2" x14ac:dyDescent="0.3">
      <c r="A3485" t="s">
        <v>2741</v>
      </c>
      <c r="B3485" t="s">
        <v>2742</v>
      </c>
    </row>
    <row r="3486" spans="1:2" x14ac:dyDescent="0.3">
      <c r="A3486" t="s">
        <v>4547</v>
      </c>
      <c r="B3486" t="s">
        <v>336</v>
      </c>
    </row>
    <row r="3487" spans="1:2" x14ac:dyDescent="0.3">
      <c r="A3487" t="s">
        <v>4707</v>
      </c>
      <c r="B3487" t="s">
        <v>4708</v>
      </c>
    </row>
    <row r="3488" spans="1:2" x14ac:dyDescent="0.3">
      <c r="A3488" t="s">
        <v>2386</v>
      </c>
      <c r="B3488" t="s">
        <v>2387</v>
      </c>
    </row>
    <row r="3489" spans="1:2" x14ac:dyDescent="0.3">
      <c r="A3489" t="s">
        <v>2388</v>
      </c>
      <c r="B3489" t="s">
        <v>2389</v>
      </c>
    </row>
    <row r="3490" spans="1:2" x14ac:dyDescent="0.3">
      <c r="A3490" t="s">
        <v>846</v>
      </c>
      <c r="B3490" t="s">
        <v>173</v>
      </c>
    </row>
    <row r="3491" spans="1:2" x14ac:dyDescent="0.3">
      <c r="A3491" t="s">
        <v>1363</v>
      </c>
      <c r="B3491" t="s">
        <v>1364</v>
      </c>
    </row>
    <row r="3492" spans="1:2" x14ac:dyDescent="0.3">
      <c r="A3492" t="s">
        <v>1459</v>
      </c>
    </row>
    <row r="3493" spans="1:2" x14ac:dyDescent="0.3">
      <c r="A3493" t="s">
        <v>4054</v>
      </c>
      <c r="B3493" t="s">
        <v>4055</v>
      </c>
    </row>
    <row r="3494" spans="1:2" x14ac:dyDescent="0.3">
      <c r="A3494" t="s">
        <v>981</v>
      </c>
      <c r="B3494" t="s">
        <v>982</v>
      </c>
    </row>
    <row r="3495" spans="1:2" x14ac:dyDescent="0.3">
      <c r="A3495" t="s">
        <v>169</v>
      </c>
      <c r="B3495" t="s">
        <v>170</v>
      </c>
    </row>
    <row r="3496" spans="1:2" x14ac:dyDescent="0.3">
      <c r="A3496" t="s">
        <v>2550</v>
      </c>
      <c r="B3496" t="s">
        <v>635</v>
      </c>
    </row>
    <row r="3497" spans="1:2" x14ac:dyDescent="0.3">
      <c r="A3497" t="s">
        <v>4155</v>
      </c>
      <c r="B3497" t="s">
        <v>635</v>
      </c>
    </row>
    <row r="3498" spans="1:2" x14ac:dyDescent="0.3">
      <c r="A3498" t="s">
        <v>4441</v>
      </c>
      <c r="B3498" t="s">
        <v>3667</v>
      </c>
    </row>
    <row r="3499" spans="1:2" x14ac:dyDescent="0.3">
      <c r="A3499" t="s">
        <v>3441</v>
      </c>
      <c r="B3499" t="s">
        <v>133</v>
      </c>
    </row>
    <row r="3500" spans="1:2" x14ac:dyDescent="0.3">
      <c r="A3500" t="s">
        <v>117</v>
      </c>
    </row>
    <row r="3501" spans="1:2" x14ac:dyDescent="0.3">
      <c r="A3501" t="s">
        <v>4658</v>
      </c>
      <c r="B3501" t="s">
        <v>4659</v>
      </c>
    </row>
    <row r="3502" spans="1:2" x14ac:dyDescent="0.3">
      <c r="A3502" t="s">
        <v>1833</v>
      </c>
      <c r="B3502" t="s">
        <v>1834</v>
      </c>
    </row>
    <row r="3503" spans="1:2" x14ac:dyDescent="0.3">
      <c r="A3503" t="s">
        <v>1291</v>
      </c>
      <c r="B3503" t="s">
        <v>1292</v>
      </c>
    </row>
    <row r="3504" spans="1:2" x14ac:dyDescent="0.3">
      <c r="A3504" t="s">
        <v>4181</v>
      </c>
      <c r="B3504" t="s">
        <v>4182</v>
      </c>
    </row>
    <row r="3505" spans="1:2" x14ac:dyDescent="0.3">
      <c r="A3505" t="s">
        <v>3863</v>
      </c>
      <c r="B3505" t="s">
        <v>3864</v>
      </c>
    </row>
    <row r="3506" spans="1:2" x14ac:dyDescent="0.3">
      <c r="A3506" t="s">
        <v>1271</v>
      </c>
      <c r="B3506" t="s">
        <v>1272</v>
      </c>
    </row>
    <row r="3507" spans="1:2" x14ac:dyDescent="0.3">
      <c r="A3507" t="s">
        <v>1686</v>
      </c>
      <c r="B3507" t="s">
        <v>133</v>
      </c>
    </row>
    <row r="3508" spans="1:2" x14ac:dyDescent="0.3">
      <c r="A3508" t="s">
        <v>3166</v>
      </c>
      <c r="B3508" t="s">
        <v>3167</v>
      </c>
    </row>
    <row r="3509" spans="1:2" x14ac:dyDescent="0.3">
      <c r="A3509" t="s">
        <v>637</v>
      </c>
      <c r="B3509" t="s">
        <v>638</v>
      </c>
    </row>
    <row r="3510" spans="1:2" x14ac:dyDescent="0.3">
      <c r="A3510" t="s">
        <v>2882</v>
      </c>
      <c r="B3510" t="s">
        <v>494</v>
      </c>
    </row>
    <row r="3511" spans="1:2" x14ac:dyDescent="0.3">
      <c r="A3511" t="s">
        <v>495</v>
      </c>
      <c r="B3511" t="s">
        <v>494</v>
      </c>
    </row>
    <row r="3512" spans="1:2" x14ac:dyDescent="0.3">
      <c r="A3512" t="s">
        <v>493</v>
      </c>
      <c r="B3512" t="s">
        <v>494</v>
      </c>
    </row>
    <row r="3513" spans="1:2" x14ac:dyDescent="0.3">
      <c r="A3513" t="s">
        <v>2810</v>
      </c>
      <c r="B3513" t="s">
        <v>494</v>
      </c>
    </row>
    <row r="3514" spans="1:2" x14ac:dyDescent="0.3">
      <c r="A3514" t="s">
        <v>1617</v>
      </c>
      <c r="B3514" t="s">
        <v>1618</v>
      </c>
    </row>
    <row r="3515" spans="1:2" x14ac:dyDescent="0.3">
      <c r="A3515" t="s">
        <v>4770</v>
      </c>
      <c r="B3515" t="s">
        <v>129</v>
      </c>
    </row>
    <row r="3516" spans="1:2" x14ac:dyDescent="0.3">
      <c r="A3516" t="s">
        <v>2551</v>
      </c>
      <c r="B3516" t="s">
        <v>170</v>
      </c>
    </row>
    <row r="3517" spans="1:2" x14ac:dyDescent="0.3">
      <c r="A3517" t="s">
        <v>2552</v>
      </c>
    </row>
    <row r="3518" spans="1:2" x14ac:dyDescent="0.3">
      <c r="A3518" t="s">
        <v>728</v>
      </c>
    </row>
    <row r="3519" spans="1:2" x14ac:dyDescent="0.3">
      <c r="A3519" t="s">
        <v>4085</v>
      </c>
      <c r="B3519" t="s">
        <v>4086</v>
      </c>
    </row>
    <row r="3520" spans="1:2" x14ac:dyDescent="0.3">
      <c r="A3520" t="s">
        <v>1774</v>
      </c>
      <c r="B3520" t="s">
        <v>1775</v>
      </c>
    </row>
    <row r="3521" spans="1:2" x14ac:dyDescent="0.3">
      <c r="A3521" t="s">
        <v>3139</v>
      </c>
      <c r="B3521" t="s">
        <v>794</v>
      </c>
    </row>
    <row r="3522" spans="1:2" x14ac:dyDescent="0.3">
      <c r="A3522" t="s">
        <v>2334</v>
      </c>
      <c r="B3522" t="s">
        <v>2335</v>
      </c>
    </row>
    <row r="3523" spans="1:2" x14ac:dyDescent="0.3">
      <c r="A3523" t="s">
        <v>1917</v>
      </c>
      <c r="B3523" t="s">
        <v>119</v>
      </c>
    </row>
    <row r="3524" spans="1:2" x14ac:dyDescent="0.3">
      <c r="A3524" t="s">
        <v>1441</v>
      </c>
      <c r="B3524" t="s">
        <v>1442</v>
      </c>
    </row>
    <row r="3525" spans="1:2" x14ac:dyDescent="0.3">
      <c r="A3525" t="s">
        <v>1435</v>
      </c>
      <c r="B3525" t="s">
        <v>1436</v>
      </c>
    </row>
    <row r="3526" spans="1:2" x14ac:dyDescent="0.3">
      <c r="A3526" t="s">
        <v>1437</v>
      </c>
      <c r="B3526" t="s">
        <v>1438</v>
      </c>
    </row>
    <row r="3527" spans="1:2" x14ac:dyDescent="0.3">
      <c r="A3527" t="s">
        <v>1439</v>
      </c>
      <c r="B3527" t="s">
        <v>1440</v>
      </c>
    </row>
    <row r="3528" spans="1:2" x14ac:dyDescent="0.3">
      <c r="A3528" t="s">
        <v>1596</v>
      </c>
      <c r="B3528" t="s">
        <v>1597</v>
      </c>
    </row>
    <row r="3529" spans="1:2" x14ac:dyDescent="0.3">
      <c r="A3529" t="s">
        <v>1448</v>
      </c>
      <c r="B3529" t="s">
        <v>1449</v>
      </c>
    </row>
    <row r="3530" spans="1:2" x14ac:dyDescent="0.3">
      <c r="A3530" t="s">
        <v>1444</v>
      </c>
      <c r="B3530" t="s">
        <v>1445</v>
      </c>
    </row>
    <row r="3531" spans="1:2" x14ac:dyDescent="0.3">
      <c r="A3531" t="s">
        <v>1446</v>
      </c>
      <c r="B3531" t="s">
        <v>1447</v>
      </c>
    </row>
    <row r="3532" spans="1:2" x14ac:dyDescent="0.3">
      <c r="A3532" t="s">
        <v>1452</v>
      </c>
      <c r="B3532" t="s">
        <v>1453</v>
      </c>
    </row>
    <row r="3533" spans="1:2" x14ac:dyDescent="0.3">
      <c r="A3533" t="s">
        <v>1433</v>
      </c>
      <c r="B3533" t="s">
        <v>1434</v>
      </c>
    </row>
    <row r="3534" spans="1:2" x14ac:dyDescent="0.3">
      <c r="A3534" t="s">
        <v>4393</v>
      </c>
      <c r="B3534" t="s">
        <v>4394</v>
      </c>
    </row>
    <row r="3535" spans="1:2" x14ac:dyDescent="0.3">
      <c r="A3535" t="s">
        <v>2336</v>
      </c>
      <c r="B3535" t="s">
        <v>116</v>
      </c>
    </row>
    <row r="3536" spans="1:2" x14ac:dyDescent="0.3">
      <c r="A3536" t="s">
        <v>395</v>
      </c>
      <c r="B3536" t="s">
        <v>119</v>
      </c>
    </row>
    <row r="3537" spans="1:2" x14ac:dyDescent="0.3">
      <c r="A3537" t="s">
        <v>2337</v>
      </c>
      <c r="B3537" t="s">
        <v>149</v>
      </c>
    </row>
    <row r="3538" spans="1:2" x14ac:dyDescent="0.3">
      <c r="A3538" t="s">
        <v>408</v>
      </c>
      <c r="B3538" t="s">
        <v>119</v>
      </c>
    </row>
    <row r="3539" spans="1:2" x14ac:dyDescent="0.3">
      <c r="A3539" t="s">
        <v>394</v>
      </c>
      <c r="B3539" t="s">
        <v>119</v>
      </c>
    </row>
    <row r="3540" spans="1:2" x14ac:dyDescent="0.3">
      <c r="A3540" t="s">
        <v>2553</v>
      </c>
      <c r="B3540" t="s">
        <v>11</v>
      </c>
    </row>
    <row r="3541" spans="1:2" x14ac:dyDescent="0.3">
      <c r="A3541" t="s">
        <v>2132</v>
      </c>
      <c r="B3541" t="s">
        <v>11</v>
      </c>
    </row>
    <row r="3542" spans="1:2" x14ac:dyDescent="0.3">
      <c r="A3542" t="s">
        <v>4636</v>
      </c>
      <c r="B3542" t="s">
        <v>133</v>
      </c>
    </row>
    <row r="3543" spans="1:2" x14ac:dyDescent="0.3">
      <c r="A3543" t="s">
        <v>1888</v>
      </c>
      <c r="B3543" t="s">
        <v>1889</v>
      </c>
    </row>
    <row r="3544" spans="1:2" x14ac:dyDescent="0.3">
      <c r="A3544" t="s">
        <v>1752</v>
      </c>
      <c r="B3544" t="s">
        <v>1749</v>
      </c>
    </row>
    <row r="3545" spans="1:2" x14ac:dyDescent="0.3">
      <c r="A3545" t="s">
        <v>4032</v>
      </c>
      <c r="B3545" t="s">
        <v>568</v>
      </c>
    </row>
    <row r="3546" spans="1:2" x14ac:dyDescent="0.3">
      <c r="A3546" t="s">
        <v>1753</v>
      </c>
      <c r="B3546" t="s">
        <v>1749</v>
      </c>
    </row>
    <row r="3547" spans="1:2" x14ac:dyDescent="0.3">
      <c r="A3547" t="s">
        <v>1754</v>
      </c>
      <c r="B3547" t="s">
        <v>1749</v>
      </c>
    </row>
    <row r="3548" spans="1:2" x14ac:dyDescent="0.3">
      <c r="A3548" t="s">
        <v>1748</v>
      </c>
      <c r="B3548" t="s">
        <v>1749</v>
      </c>
    </row>
    <row r="3549" spans="1:2" x14ac:dyDescent="0.3">
      <c r="A3549" t="s">
        <v>1750</v>
      </c>
      <c r="B3549" t="s">
        <v>1749</v>
      </c>
    </row>
    <row r="3550" spans="1:2" x14ac:dyDescent="0.3">
      <c r="A3550" t="s">
        <v>1751</v>
      </c>
      <c r="B3550" t="s">
        <v>1749</v>
      </c>
    </row>
    <row r="3551" spans="1:2" x14ac:dyDescent="0.3">
      <c r="A3551" t="s">
        <v>4045</v>
      </c>
      <c r="B3551" t="s">
        <v>568</v>
      </c>
    </row>
    <row r="3552" spans="1:2" x14ac:dyDescent="0.3">
      <c r="A3552" t="s">
        <v>4046</v>
      </c>
      <c r="B3552" t="s">
        <v>568</v>
      </c>
    </row>
    <row r="3553" spans="1:2" x14ac:dyDescent="0.3">
      <c r="A3553" t="s">
        <v>4442</v>
      </c>
      <c r="B3553" t="s">
        <v>568</v>
      </c>
    </row>
    <row r="3554" spans="1:2" x14ac:dyDescent="0.3">
      <c r="A3554" t="s">
        <v>4548</v>
      </c>
      <c r="B3554" t="s">
        <v>568</v>
      </c>
    </row>
    <row r="3555" spans="1:2" x14ac:dyDescent="0.3">
      <c r="A3555" t="s">
        <v>4549</v>
      </c>
      <c r="B3555" t="s">
        <v>568</v>
      </c>
    </row>
    <row r="3556" spans="1:2" x14ac:dyDescent="0.3">
      <c r="A3556" t="s">
        <v>3478</v>
      </c>
      <c r="B3556" t="s">
        <v>568</v>
      </c>
    </row>
    <row r="3557" spans="1:2" x14ac:dyDescent="0.3">
      <c r="A3557" t="s">
        <v>4443</v>
      </c>
      <c r="B3557" t="s">
        <v>568</v>
      </c>
    </row>
    <row r="3558" spans="1:2" x14ac:dyDescent="0.3">
      <c r="A3558" t="s">
        <v>4292</v>
      </c>
      <c r="B3558" t="s">
        <v>4293</v>
      </c>
    </row>
    <row r="3559" spans="1:2" x14ac:dyDescent="0.3">
      <c r="A3559" t="s">
        <v>3416</v>
      </c>
      <c r="B3559" t="s">
        <v>3417</v>
      </c>
    </row>
    <row r="3560" spans="1:2" x14ac:dyDescent="0.3">
      <c r="A3560" t="s">
        <v>3126</v>
      </c>
      <c r="B3560" t="s">
        <v>3127</v>
      </c>
    </row>
    <row r="3561" spans="1:2" x14ac:dyDescent="0.3">
      <c r="A3561" t="s">
        <v>1923</v>
      </c>
      <c r="B3561" t="s">
        <v>1924</v>
      </c>
    </row>
    <row r="3562" spans="1:2" x14ac:dyDescent="0.3">
      <c r="A3562" t="s">
        <v>1158</v>
      </c>
      <c r="B3562" t="s">
        <v>1159</v>
      </c>
    </row>
    <row r="3563" spans="1:2" x14ac:dyDescent="0.3">
      <c r="A3563" t="s">
        <v>1109</v>
      </c>
      <c r="B3563" t="s">
        <v>1110</v>
      </c>
    </row>
    <row r="3564" spans="1:2" x14ac:dyDescent="0.3">
      <c r="A3564" t="s">
        <v>1275</v>
      </c>
    </row>
    <row r="3565" spans="1:2" x14ac:dyDescent="0.3">
      <c r="A3565" t="s">
        <v>4108</v>
      </c>
      <c r="B3565" t="s">
        <v>2473</v>
      </c>
    </row>
    <row r="3566" spans="1:2" x14ac:dyDescent="0.3">
      <c r="A3566" t="s">
        <v>2977</v>
      </c>
      <c r="B3566" t="s">
        <v>2473</v>
      </c>
    </row>
    <row r="3567" spans="1:2" x14ac:dyDescent="0.3">
      <c r="A3567" t="s">
        <v>4742</v>
      </c>
      <c r="B3567" t="s">
        <v>4743</v>
      </c>
    </row>
    <row r="3568" spans="1:2" x14ac:dyDescent="0.3">
      <c r="A3568" t="s">
        <v>4093</v>
      </c>
      <c r="B3568" t="s">
        <v>682</v>
      </c>
    </row>
    <row r="3569" spans="1:2" x14ac:dyDescent="0.3">
      <c r="A3569" t="s">
        <v>3400</v>
      </c>
      <c r="B3569" t="s">
        <v>13</v>
      </c>
    </row>
    <row r="3570" spans="1:2" x14ac:dyDescent="0.3">
      <c r="A3570" t="s">
        <v>4765</v>
      </c>
      <c r="B3570" t="s">
        <v>4766</v>
      </c>
    </row>
    <row r="3571" spans="1:2" x14ac:dyDescent="0.3">
      <c r="A3571" t="s">
        <v>1242</v>
      </c>
      <c r="B3571" t="s">
        <v>22</v>
      </c>
    </row>
    <row r="3572" spans="1:2" x14ac:dyDescent="0.3">
      <c r="A3572" t="s">
        <v>4531</v>
      </c>
      <c r="B3572" t="s">
        <v>22</v>
      </c>
    </row>
    <row r="3573" spans="1:2" x14ac:dyDescent="0.3">
      <c r="A3573" t="s">
        <v>415</v>
      </c>
      <c r="B3573" t="s">
        <v>18</v>
      </c>
    </row>
    <row r="3574" spans="1:2" x14ac:dyDescent="0.3">
      <c r="A3574" t="s">
        <v>416</v>
      </c>
      <c r="B3574" t="s">
        <v>22</v>
      </c>
    </row>
    <row r="3575" spans="1:2" x14ac:dyDescent="0.3">
      <c r="A3575" t="s">
        <v>417</v>
      </c>
      <c r="B3575" t="s">
        <v>22</v>
      </c>
    </row>
    <row r="3576" spans="1:2" x14ac:dyDescent="0.3">
      <c r="A3576" t="s">
        <v>773</v>
      </c>
      <c r="B3576" t="s">
        <v>18</v>
      </c>
    </row>
    <row r="3577" spans="1:2" x14ac:dyDescent="0.3">
      <c r="A3577" t="s">
        <v>418</v>
      </c>
      <c r="B3577" t="s">
        <v>18</v>
      </c>
    </row>
    <row r="3578" spans="1:2" x14ac:dyDescent="0.3">
      <c r="A3578" t="s">
        <v>1313</v>
      </c>
      <c r="B3578" t="s">
        <v>22</v>
      </c>
    </row>
    <row r="3579" spans="1:2" x14ac:dyDescent="0.3">
      <c r="A3579" t="s">
        <v>1243</v>
      </c>
      <c r="B3579" t="s">
        <v>22</v>
      </c>
    </row>
    <row r="3580" spans="1:2" x14ac:dyDescent="0.3">
      <c r="A3580" t="s">
        <v>774</v>
      </c>
      <c r="B3580" t="s">
        <v>18</v>
      </c>
    </row>
    <row r="3581" spans="1:2" x14ac:dyDescent="0.3">
      <c r="A3581" t="s">
        <v>775</v>
      </c>
      <c r="B3581" t="s">
        <v>18</v>
      </c>
    </row>
    <row r="3582" spans="1:2" x14ac:dyDescent="0.3">
      <c r="A3582" t="s">
        <v>776</v>
      </c>
      <c r="B3582" t="s">
        <v>22</v>
      </c>
    </row>
    <row r="3583" spans="1:2" x14ac:dyDescent="0.3">
      <c r="A3583" t="s">
        <v>777</v>
      </c>
      <c r="B3583" t="s">
        <v>22</v>
      </c>
    </row>
    <row r="3584" spans="1:2" x14ac:dyDescent="0.3">
      <c r="A3584" t="s">
        <v>100</v>
      </c>
    </row>
    <row r="3585" spans="1:2" x14ac:dyDescent="0.3">
      <c r="A3585" t="s">
        <v>778</v>
      </c>
      <c r="B3585" t="s">
        <v>22</v>
      </c>
    </row>
    <row r="3586" spans="1:2" x14ac:dyDescent="0.3">
      <c r="A3586" t="s">
        <v>779</v>
      </c>
      <c r="B3586" t="s">
        <v>18</v>
      </c>
    </row>
    <row r="3587" spans="1:2" x14ac:dyDescent="0.3">
      <c r="A3587" t="s">
        <v>145</v>
      </c>
      <c r="B3587" t="s">
        <v>22</v>
      </c>
    </row>
    <row r="3588" spans="1:2" x14ac:dyDescent="0.3">
      <c r="A3588" t="s">
        <v>419</v>
      </c>
      <c r="B3588" t="s">
        <v>22</v>
      </c>
    </row>
    <row r="3589" spans="1:2" x14ac:dyDescent="0.3">
      <c r="A3589" t="s">
        <v>420</v>
      </c>
      <c r="B3589" t="s">
        <v>22</v>
      </c>
    </row>
    <row r="3590" spans="1:2" x14ac:dyDescent="0.3">
      <c r="A3590" t="s">
        <v>780</v>
      </c>
      <c r="B3590" t="s">
        <v>22</v>
      </c>
    </row>
    <row r="3591" spans="1:2" x14ac:dyDescent="0.3">
      <c r="A3591" t="s">
        <v>248</v>
      </c>
      <c r="B3591" t="s">
        <v>22</v>
      </c>
    </row>
    <row r="3592" spans="1:2" x14ac:dyDescent="0.3">
      <c r="A3592" t="s">
        <v>249</v>
      </c>
      <c r="B3592" t="s">
        <v>22</v>
      </c>
    </row>
    <row r="3593" spans="1:2" x14ac:dyDescent="0.3">
      <c r="A3593" t="s">
        <v>781</v>
      </c>
      <c r="B3593" t="s">
        <v>18</v>
      </c>
    </row>
    <row r="3594" spans="1:2" x14ac:dyDescent="0.3">
      <c r="A3594" t="s">
        <v>782</v>
      </c>
      <c r="B3594" t="s">
        <v>18</v>
      </c>
    </row>
    <row r="3595" spans="1:2" x14ac:dyDescent="0.3">
      <c r="A3595" t="s">
        <v>267</v>
      </c>
      <c r="B3595" t="s">
        <v>22</v>
      </c>
    </row>
    <row r="3596" spans="1:2" x14ac:dyDescent="0.3">
      <c r="A3596" t="s">
        <v>1304</v>
      </c>
      <c r="B3596" t="s">
        <v>1305</v>
      </c>
    </row>
    <row r="3597" spans="1:2" x14ac:dyDescent="0.3">
      <c r="A3597" t="s">
        <v>1764</v>
      </c>
      <c r="B3597" t="s">
        <v>1765</v>
      </c>
    </row>
    <row r="3598" spans="1:2" x14ac:dyDescent="0.3">
      <c r="A3598" t="s">
        <v>1668</v>
      </c>
      <c r="B3598" t="s">
        <v>1669</v>
      </c>
    </row>
    <row r="3599" spans="1:2" x14ac:dyDescent="0.3">
      <c r="A3599" t="s">
        <v>1695</v>
      </c>
      <c r="B3599" t="s">
        <v>1696</v>
      </c>
    </row>
    <row r="3600" spans="1:2" x14ac:dyDescent="0.3">
      <c r="A3600" t="s">
        <v>1370</v>
      </c>
      <c r="B3600" t="s">
        <v>1371</v>
      </c>
    </row>
    <row r="3601" spans="1:2" x14ac:dyDescent="0.3">
      <c r="A3601" t="s">
        <v>2492</v>
      </c>
      <c r="B3601" t="s">
        <v>2493</v>
      </c>
    </row>
    <row r="3602" spans="1:2" x14ac:dyDescent="0.3">
      <c r="A3602" t="s">
        <v>2942</v>
      </c>
      <c r="B3602" t="s">
        <v>2943</v>
      </c>
    </row>
    <row r="3603" spans="1:2" x14ac:dyDescent="0.3">
      <c r="A3603" t="s">
        <v>2941</v>
      </c>
      <c r="B3603" t="s">
        <v>1941</v>
      </c>
    </row>
    <row r="3604" spans="1:2" x14ac:dyDescent="0.3">
      <c r="A3604" t="s">
        <v>3345</v>
      </c>
      <c r="B3604" t="s">
        <v>3346</v>
      </c>
    </row>
    <row r="3605" spans="1:2" x14ac:dyDescent="0.3">
      <c r="A3605" t="s">
        <v>160</v>
      </c>
      <c r="B3605" t="s">
        <v>161</v>
      </c>
    </row>
    <row r="3606" spans="1:2" x14ac:dyDescent="0.3">
      <c r="A3606" t="s">
        <v>3237</v>
      </c>
      <c r="B3606" t="s">
        <v>136</v>
      </c>
    </row>
    <row r="3607" spans="1:2" x14ac:dyDescent="0.3">
      <c r="A3607" t="s">
        <v>1666</v>
      </c>
      <c r="B3607" t="s">
        <v>1667</v>
      </c>
    </row>
    <row r="3608" spans="1:2" x14ac:dyDescent="0.3">
      <c r="A3608" t="s">
        <v>989</v>
      </c>
      <c r="B3608" t="s">
        <v>988</v>
      </c>
    </row>
    <row r="3609" spans="1:2" x14ac:dyDescent="0.3">
      <c r="A3609" t="s">
        <v>987</v>
      </c>
      <c r="B3609" t="s">
        <v>988</v>
      </c>
    </row>
    <row r="3610" spans="1:2" x14ac:dyDescent="0.3">
      <c r="A3610" t="s">
        <v>1232</v>
      </c>
      <c r="B3610" t="s">
        <v>1233</v>
      </c>
    </row>
    <row r="3611" spans="1:2" x14ac:dyDescent="0.3">
      <c r="A3611" t="s">
        <v>1030</v>
      </c>
      <c r="B3611" t="s">
        <v>1031</v>
      </c>
    </row>
    <row r="3612" spans="1:2" x14ac:dyDescent="0.3">
      <c r="A3612" t="s">
        <v>1032</v>
      </c>
      <c r="B3612" t="s">
        <v>1033</v>
      </c>
    </row>
    <row r="3613" spans="1:2" x14ac:dyDescent="0.3">
      <c r="A3613" t="s">
        <v>1253</v>
      </c>
      <c r="B3613" t="s">
        <v>1254</v>
      </c>
    </row>
    <row r="3614" spans="1:2" x14ac:dyDescent="0.3">
      <c r="A3614" t="s">
        <v>1333</v>
      </c>
      <c r="B3614" t="s">
        <v>1334</v>
      </c>
    </row>
    <row r="3615" spans="1:2" x14ac:dyDescent="0.3">
      <c r="A3615" t="s">
        <v>990</v>
      </c>
      <c r="B3615" t="s">
        <v>991</v>
      </c>
    </row>
    <row r="3616" spans="1:2" x14ac:dyDescent="0.3">
      <c r="A3616" t="s">
        <v>1320</v>
      </c>
      <c r="B3616" t="s">
        <v>1321</v>
      </c>
    </row>
    <row r="3617" spans="1:2" x14ac:dyDescent="0.3">
      <c r="A3617" t="s">
        <v>3791</v>
      </c>
      <c r="B3617" t="s">
        <v>3792</v>
      </c>
    </row>
    <row r="3618" spans="1:2" x14ac:dyDescent="0.3">
      <c r="A3618" t="s">
        <v>1559</v>
      </c>
      <c r="B3618" t="s">
        <v>494</v>
      </c>
    </row>
    <row r="3619" spans="1:2" x14ac:dyDescent="0.3">
      <c r="A3619" t="s">
        <v>322</v>
      </c>
      <c r="B3619" t="s">
        <v>181</v>
      </c>
    </row>
    <row r="3620" spans="1:2" x14ac:dyDescent="0.3">
      <c r="A3620" t="s">
        <v>4444</v>
      </c>
      <c r="B3620" t="s">
        <v>3530</v>
      </c>
    </row>
    <row r="3621" spans="1:2" x14ac:dyDescent="0.3">
      <c r="A3621" t="s">
        <v>4130</v>
      </c>
      <c r="B3621" t="s">
        <v>136</v>
      </c>
    </row>
    <row r="3622" spans="1:2" x14ac:dyDescent="0.3">
      <c r="A3622" t="s">
        <v>2571</v>
      </c>
      <c r="B3622" t="s">
        <v>2572</v>
      </c>
    </row>
    <row r="3623" spans="1:2" x14ac:dyDescent="0.3">
      <c r="A3623" t="s">
        <v>4790</v>
      </c>
      <c r="B3623" t="s">
        <v>2572</v>
      </c>
    </row>
    <row r="3624" spans="1:2" x14ac:dyDescent="0.3">
      <c r="A3624" t="s">
        <v>2573</v>
      </c>
      <c r="B3624" t="s">
        <v>2572</v>
      </c>
    </row>
    <row r="3625" spans="1:2" x14ac:dyDescent="0.3">
      <c r="A3625" t="s">
        <v>4791</v>
      </c>
      <c r="B3625" t="s">
        <v>2572</v>
      </c>
    </row>
    <row r="3626" spans="1:2" x14ac:dyDescent="0.3">
      <c r="A3626" t="s">
        <v>3306</v>
      </c>
      <c r="B3626" t="s">
        <v>3307</v>
      </c>
    </row>
    <row r="3627" spans="1:2" x14ac:dyDescent="0.3">
      <c r="A3627" t="s">
        <v>3108</v>
      </c>
      <c r="B3627" t="s">
        <v>128</v>
      </c>
    </row>
    <row r="3628" spans="1:2" x14ac:dyDescent="0.3">
      <c r="A3628" t="s">
        <v>4101</v>
      </c>
      <c r="B3628" t="s">
        <v>786</v>
      </c>
    </row>
    <row r="3629" spans="1:2" x14ac:dyDescent="0.3">
      <c r="A3629" t="s">
        <v>4785</v>
      </c>
      <c r="B3629" t="s">
        <v>2549</v>
      </c>
    </row>
    <row r="3630" spans="1:2" x14ac:dyDescent="0.3">
      <c r="A3630" t="s">
        <v>4068</v>
      </c>
      <c r="B3630" t="s">
        <v>4069</v>
      </c>
    </row>
    <row r="3631" spans="1:2" x14ac:dyDescent="0.3">
      <c r="A3631" t="s">
        <v>4095</v>
      </c>
      <c r="B3631" t="s">
        <v>132</v>
      </c>
    </row>
    <row r="3632" spans="1:2" x14ac:dyDescent="0.3">
      <c r="A3632" t="s">
        <v>4059</v>
      </c>
      <c r="B3632" t="s">
        <v>4060</v>
      </c>
    </row>
    <row r="3633" spans="1:2" x14ac:dyDescent="0.3">
      <c r="A3633" t="s">
        <v>3302</v>
      </c>
      <c r="B3633" t="s">
        <v>3303</v>
      </c>
    </row>
    <row r="3634" spans="1:2" x14ac:dyDescent="0.3">
      <c r="A3634" t="s">
        <v>3308</v>
      </c>
      <c r="B3634" t="s">
        <v>128</v>
      </c>
    </row>
    <row r="3635" spans="1:2" x14ac:dyDescent="0.3">
      <c r="A3635" t="s">
        <v>3309</v>
      </c>
      <c r="B3635" t="s">
        <v>128</v>
      </c>
    </row>
    <row r="3636" spans="1:2" x14ac:dyDescent="0.3">
      <c r="A3636" t="s">
        <v>3288</v>
      </c>
      <c r="B3636" t="s">
        <v>3289</v>
      </c>
    </row>
    <row r="3637" spans="1:2" x14ac:dyDescent="0.3">
      <c r="A3637" t="s">
        <v>3426</v>
      </c>
      <c r="B3637" t="s">
        <v>3427</v>
      </c>
    </row>
    <row r="3638" spans="1:2" x14ac:dyDescent="0.3">
      <c r="A3638" t="s">
        <v>3310</v>
      </c>
      <c r="B3638" t="s">
        <v>3311</v>
      </c>
    </row>
    <row r="3639" spans="1:2" x14ac:dyDescent="0.3">
      <c r="A3639" t="s">
        <v>4624</v>
      </c>
      <c r="B3639" t="s">
        <v>13</v>
      </c>
    </row>
    <row r="3640" spans="1:2" x14ac:dyDescent="0.3">
      <c r="A3640" t="s">
        <v>4025</v>
      </c>
      <c r="B3640" t="s">
        <v>4026</v>
      </c>
    </row>
    <row r="3641" spans="1:2" x14ac:dyDescent="0.3">
      <c r="A3641" t="s">
        <v>4119</v>
      </c>
      <c r="B3641" t="s">
        <v>4120</v>
      </c>
    </row>
    <row r="3642" spans="1:2" x14ac:dyDescent="0.3">
      <c r="A3642" t="s">
        <v>3351</v>
      </c>
      <c r="B3642" t="s">
        <v>3352</v>
      </c>
    </row>
    <row r="3643" spans="1:2" x14ac:dyDescent="0.3">
      <c r="A3643" t="s">
        <v>3304</v>
      </c>
      <c r="B3643" t="s">
        <v>3305</v>
      </c>
    </row>
    <row r="3644" spans="1:2" x14ac:dyDescent="0.3">
      <c r="A3644" t="s">
        <v>4505</v>
      </c>
      <c r="B3644" t="s">
        <v>4506</v>
      </c>
    </row>
    <row r="3645" spans="1:2" x14ac:dyDescent="0.3">
      <c r="A3645" t="s">
        <v>4301</v>
      </c>
      <c r="B3645" t="s">
        <v>4302</v>
      </c>
    </row>
    <row r="3646" spans="1:2" x14ac:dyDescent="0.3">
      <c r="A3646" t="s">
        <v>1379</v>
      </c>
      <c r="B3646" t="s">
        <v>1380</v>
      </c>
    </row>
    <row r="3647" spans="1:2" x14ac:dyDescent="0.3">
      <c r="A3647" t="s">
        <v>1343</v>
      </c>
      <c r="B3647" t="s">
        <v>1344</v>
      </c>
    </row>
    <row r="3648" spans="1:2" x14ac:dyDescent="0.3">
      <c r="A3648" t="s">
        <v>1835</v>
      </c>
      <c r="B3648" t="s">
        <v>1836</v>
      </c>
    </row>
    <row r="3649" spans="1:2" x14ac:dyDescent="0.3">
      <c r="A3649" t="s">
        <v>1837</v>
      </c>
      <c r="B3649" t="s">
        <v>1836</v>
      </c>
    </row>
    <row r="3650" spans="1:2" x14ac:dyDescent="0.3">
      <c r="A3650" t="s">
        <v>1372</v>
      </c>
      <c r="B3650" t="s">
        <v>1373</v>
      </c>
    </row>
    <row r="3651" spans="1:2" x14ac:dyDescent="0.3">
      <c r="A3651" t="s">
        <v>1838</v>
      </c>
      <c r="B3651" t="s">
        <v>1836</v>
      </c>
    </row>
    <row r="3652" spans="1:2" x14ac:dyDescent="0.3">
      <c r="A3652" t="s">
        <v>1366</v>
      </c>
      <c r="B3652" t="s">
        <v>1367</v>
      </c>
    </row>
    <row r="3653" spans="1:2" x14ac:dyDescent="0.3">
      <c r="A3653" t="s">
        <v>979</v>
      </c>
      <c r="B3653" t="s">
        <v>980</v>
      </c>
    </row>
    <row r="3654" spans="1:2" x14ac:dyDescent="0.3">
      <c r="A3654" t="s">
        <v>1381</v>
      </c>
      <c r="B3654" t="s">
        <v>1382</v>
      </c>
    </row>
    <row r="3655" spans="1:2" x14ac:dyDescent="0.3">
      <c r="A3655" t="s">
        <v>965</v>
      </c>
      <c r="B3655" t="s">
        <v>966</v>
      </c>
    </row>
    <row r="3656" spans="1:2" x14ac:dyDescent="0.3">
      <c r="A3656" t="s">
        <v>1374</v>
      </c>
      <c r="B3656" t="s">
        <v>1375</v>
      </c>
    </row>
    <row r="3657" spans="1:2" x14ac:dyDescent="0.3">
      <c r="A3657" t="s">
        <v>3799</v>
      </c>
      <c r="B3657" t="s">
        <v>3775</v>
      </c>
    </row>
    <row r="3658" spans="1:2" x14ac:dyDescent="0.3">
      <c r="A3658" t="s">
        <v>4402</v>
      </c>
      <c r="B3658" t="s">
        <v>119</v>
      </c>
    </row>
    <row r="3659" spans="1:2" x14ac:dyDescent="0.3">
      <c r="A3659" t="s">
        <v>4403</v>
      </c>
      <c r="B3659" t="s">
        <v>119</v>
      </c>
    </row>
    <row r="3660" spans="1:2" x14ac:dyDescent="0.3">
      <c r="A3660" t="s">
        <v>3462</v>
      </c>
      <c r="B3660" t="s">
        <v>353</v>
      </c>
    </row>
    <row r="3661" spans="1:2" x14ac:dyDescent="0.3">
      <c r="A3661" t="s">
        <v>4050</v>
      </c>
      <c r="B3661" t="s">
        <v>132</v>
      </c>
    </row>
    <row r="3662" spans="1:2" x14ac:dyDescent="0.3">
      <c r="A3662" t="s">
        <v>3710</v>
      </c>
      <c r="B3662" t="s">
        <v>132</v>
      </c>
    </row>
    <row r="3663" spans="1:2" x14ac:dyDescent="0.3">
      <c r="A3663" t="s">
        <v>2565</v>
      </c>
    </row>
    <row r="3664" spans="1:2" x14ac:dyDescent="0.3">
      <c r="A3664" t="s">
        <v>3432</v>
      </c>
      <c r="B3664" t="s">
        <v>3433</v>
      </c>
    </row>
    <row r="3665" spans="1:2" x14ac:dyDescent="0.3">
      <c r="A3665" t="s">
        <v>3434</v>
      </c>
      <c r="B3665" t="s">
        <v>3433</v>
      </c>
    </row>
    <row r="3666" spans="1:2" x14ac:dyDescent="0.3">
      <c r="A3666" t="s">
        <v>3435</v>
      </c>
      <c r="B3666" t="s">
        <v>3436</v>
      </c>
    </row>
    <row r="3667" spans="1:2" x14ac:dyDescent="0.3">
      <c r="A3667" t="s">
        <v>1623</v>
      </c>
      <c r="B3667" t="s">
        <v>824</v>
      </c>
    </row>
    <row r="3668" spans="1:2" x14ac:dyDescent="0.3">
      <c r="A3668" t="s">
        <v>1624</v>
      </c>
      <c r="B3668" t="s">
        <v>824</v>
      </c>
    </row>
    <row r="3669" spans="1:2" x14ac:dyDescent="0.3">
      <c r="A3669" t="s">
        <v>1626</v>
      </c>
      <c r="B3669" t="s">
        <v>824</v>
      </c>
    </row>
    <row r="3670" spans="1:2" x14ac:dyDescent="0.3">
      <c r="A3670" t="s">
        <v>1625</v>
      </c>
      <c r="B3670" t="s">
        <v>824</v>
      </c>
    </row>
    <row r="3671" spans="1:2" x14ac:dyDescent="0.3">
      <c r="A3671" t="s">
        <v>319</v>
      </c>
      <c r="B3671" t="s">
        <v>22</v>
      </c>
    </row>
    <row r="3672" spans="1:2" x14ac:dyDescent="0.3">
      <c r="A3672" t="s">
        <v>1040</v>
      </c>
      <c r="B3672" t="s">
        <v>353</v>
      </c>
    </row>
    <row r="3673" spans="1:2" x14ac:dyDescent="0.3">
      <c r="A3673" t="s">
        <v>1037</v>
      </c>
      <c r="B3673" t="s">
        <v>353</v>
      </c>
    </row>
    <row r="3674" spans="1:2" x14ac:dyDescent="0.3">
      <c r="A3674" t="s">
        <v>1041</v>
      </c>
      <c r="B3674" t="s">
        <v>353</v>
      </c>
    </row>
    <row r="3675" spans="1:2" x14ac:dyDescent="0.3">
      <c r="A3675" t="s">
        <v>1039</v>
      </c>
      <c r="B3675" t="s">
        <v>353</v>
      </c>
    </row>
    <row r="3676" spans="1:2" x14ac:dyDescent="0.3">
      <c r="A3676" t="s">
        <v>1038</v>
      </c>
      <c r="B3676" t="s">
        <v>353</v>
      </c>
    </row>
    <row r="3677" spans="1:2" x14ac:dyDescent="0.3">
      <c r="A3677" t="s">
        <v>2855</v>
      </c>
      <c r="B3677" t="s">
        <v>188</v>
      </c>
    </row>
    <row r="3678" spans="1:2" x14ac:dyDescent="0.3">
      <c r="A3678" t="s">
        <v>1057</v>
      </c>
      <c r="B3678" t="s">
        <v>278</v>
      </c>
    </row>
    <row r="3679" spans="1:2" x14ac:dyDescent="0.3">
      <c r="A3679" t="s">
        <v>1476</v>
      </c>
      <c r="B3679" t="s">
        <v>1477</v>
      </c>
    </row>
    <row r="3680" spans="1:2" x14ac:dyDescent="0.3">
      <c r="A3680" t="s">
        <v>3963</v>
      </c>
      <c r="B3680" t="s">
        <v>151</v>
      </c>
    </row>
    <row r="3681" spans="1:2" x14ac:dyDescent="0.3">
      <c r="A3681" t="s">
        <v>1726</v>
      </c>
      <c r="B3681" t="s">
        <v>116</v>
      </c>
    </row>
    <row r="3682" spans="1:2" x14ac:dyDescent="0.3">
      <c r="A3682" t="s">
        <v>1042</v>
      </c>
      <c r="B3682" t="s">
        <v>1043</v>
      </c>
    </row>
    <row r="3683" spans="1:2" x14ac:dyDescent="0.3">
      <c r="A3683" t="s">
        <v>1044</v>
      </c>
      <c r="B3683" t="s">
        <v>1045</v>
      </c>
    </row>
    <row r="3684" spans="1:2" x14ac:dyDescent="0.3">
      <c r="A3684" t="s">
        <v>1766</v>
      </c>
      <c r="B3684" t="s">
        <v>1767</v>
      </c>
    </row>
    <row r="3685" spans="1:2" x14ac:dyDescent="0.3">
      <c r="A3685" t="s">
        <v>1035</v>
      </c>
      <c r="B3685" t="s">
        <v>1036</v>
      </c>
    </row>
    <row r="3686" spans="1:2" x14ac:dyDescent="0.3">
      <c r="A3686" t="s">
        <v>1048</v>
      </c>
      <c r="B3686" t="s">
        <v>1047</v>
      </c>
    </row>
    <row r="3687" spans="1:2" x14ac:dyDescent="0.3">
      <c r="A3687" t="s">
        <v>1046</v>
      </c>
      <c r="B3687" t="s">
        <v>1047</v>
      </c>
    </row>
    <row r="3688" spans="1:2" x14ac:dyDescent="0.3">
      <c r="A3688" t="s">
        <v>1733</v>
      </c>
      <c r="B3688" t="s">
        <v>372</v>
      </c>
    </row>
    <row r="3689" spans="1:2" x14ac:dyDescent="0.3">
      <c r="A3689" t="s">
        <v>1376</v>
      </c>
      <c r="B3689" t="s">
        <v>372</v>
      </c>
    </row>
    <row r="3690" spans="1:2" x14ac:dyDescent="0.3">
      <c r="A3690" t="s">
        <v>992</v>
      </c>
      <c r="B3690" t="s">
        <v>372</v>
      </c>
    </row>
    <row r="3691" spans="1:2" x14ac:dyDescent="0.3">
      <c r="A3691" t="s">
        <v>1709</v>
      </c>
      <c r="B3691" t="s">
        <v>116</v>
      </c>
    </row>
    <row r="3692" spans="1:2" x14ac:dyDescent="0.3">
      <c r="A3692" t="s">
        <v>1852</v>
      </c>
      <c r="B3692" t="s">
        <v>363</v>
      </c>
    </row>
    <row r="3693" spans="1:2" x14ac:dyDescent="0.3">
      <c r="A3693" t="s">
        <v>1577</v>
      </c>
      <c r="B3693" t="s">
        <v>116</v>
      </c>
    </row>
    <row r="3694" spans="1:2" x14ac:dyDescent="0.3">
      <c r="A3694" t="s">
        <v>1049</v>
      </c>
      <c r="B3694" t="s">
        <v>1050</v>
      </c>
    </row>
    <row r="3695" spans="1:2" x14ac:dyDescent="0.3">
      <c r="A3695" t="s">
        <v>1839</v>
      </c>
      <c r="B3695" t="s">
        <v>1378</v>
      </c>
    </row>
    <row r="3696" spans="1:2" x14ac:dyDescent="0.3">
      <c r="A3696" t="s">
        <v>1056</v>
      </c>
      <c r="B3696" t="s">
        <v>1052</v>
      </c>
    </row>
    <row r="3697" spans="1:2" x14ac:dyDescent="0.3">
      <c r="A3697" t="s">
        <v>1704</v>
      </c>
      <c r="B3697" t="s">
        <v>246</v>
      </c>
    </row>
    <row r="3698" spans="1:2" x14ac:dyDescent="0.3">
      <c r="A3698" t="s">
        <v>1051</v>
      </c>
      <c r="B3698" t="s">
        <v>1052</v>
      </c>
    </row>
    <row r="3699" spans="1:2" x14ac:dyDescent="0.3">
      <c r="A3699" t="s">
        <v>1053</v>
      </c>
      <c r="B3699" t="s">
        <v>1052</v>
      </c>
    </row>
    <row r="3700" spans="1:2" x14ac:dyDescent="0.3">
      <c r="A3700" t="s">
        <v>1377</v>
      </c>
      <c r="B3700" t="s">
        <v>1378</v>
      </c>
    </row>
    <row r="3701" spans="1:2" x14ac:dyDescent="0.3">
      <c r="A3701" t="s">
        <v>1054</v>
      </c>
      <c r="B3701" t="s">
        <v>1055</v>
      </c>
    </row>
    <row r="3702" spans="1:2" x14ac:dyDescent="0.3">
      <c r="A3702" t="s">
        <v>464</v>
      </c>
      <c r="B3702" t="s">
        <v>181</v>
      </c>
    </row>
    <row r="3703" spans="1:2" x14ac:dyDescent="0.3">
      <c r="A3703" t="s">
        <v>905</v>
      </c>
      <c r="B3703" t="s">
        <v>906</v>
      </c>
    </row>
    <row r="3704" spans="1:2" x14ac:dyDescent="0.3">
      <c r="A3704" t="s">
        <v>2567</v>
      </c>
    </row>
    <row r="3705" spans="1:2" x14ac:dyDescent="0.3">
      <c r="A3705" t="s">
        <v>3152</v>
      </c>
      <c r="B3705" t="s">
        <v>3153</v>
      </c>
    </row>
    <row r="3706" spans="1:2" x14ac:dyDescent="0.3">
      <c r="A3706" t="s">
        <v>730</v>
      </c>
    </row>
    <row r="3707" spans="1:2" x14ac:dyDescent="0.3">
      <c r="A3707" t="s">
        <v>731</v>
      </c>
    </row>
    <row r="3708" spans="1:2" x14ac:dyDescent="0.3">
      <c r="A3708" t="s">
        <v>2134</v>
      </c>
      <c r="B3708" t="s">
        <v>405</v>
      </c>
    </row>
    <row r="3709" spans="1:2" x14ac:dyDescent="0.3">
      <c r="A3709" t="s">
        <v>1450</v>
      </c>
      <c r="B3709" t="s">
        <v>1451</v>
      </c>
    </row>
    <row r="3710" spans="1:2" x14ac:dyDescent="0.3">
      <c r="A3710" t="s">
        <v>3188</v>
      </c>
      <c r="B3710" t="s">
        <v>22</v>
      </c>
    </row>
    <row r="3711" spans="1:2" x14ac:dyDescent="0.3">
      <c r="A3711" t="s">
        <v>3001</v>
      </c>
      <c r="B3711" t="s">
        <v>22</v>
      </c>
    </row>
    <row r="3712" spans="1:2" x14ac:dyDescent="0.3">
      <c r="A3712" t="s">
        <v>3000</v>
      </c>
      <c r="B3712" t="s">
        <v>22</v>
      </c>
    </row>
    <row r="3713" spans="1:2" x14ac:dyDescent="0.3">
      <c r="A3713" t="s">
        <v>3018</v>
      </c>
      <c r="B3713" t="s">
        <v>22</v>
      </c>
    </row>
    <row r="3714" spans="1:2" x14ac:dyDescent="0.3">
      <c r="A3714" t="s">
        <v>3019</v>
      </c>
      <c r="B3714" t="s">
        <v>22</v>
      </c>
    </row>
    <row r="3715" spans="1:2" x14ac:dyDescent="0.3">
      <c r="A3715" t="s">
        <v>2756</v>
      </c>
      <c r="B3715" t="s">
        <v>363</v>
      </c>
    </row>
    <row r="3716" spans="1:2" x14ac:dyDescent="0.3">
      <c r="A3716" t="s">
        <v>961</v>
      </c>
      <c r="B3716" t="s">
        <v>824</v>
      </c>
    </row>
    <row r="3717" spans="1:2" x14ac:dyDescent="0.3">
      <c r="A3717" t="s">
        <v>2789</v>
      </c>
      <c r="B3717" t="s">
        <v>494</v>
      </c>
    </row>
    <row r="3718" spans="1:2" x14ac:dyDescent="0.3">
      <c r="A3718" t="s">
        <v>4633</v>
      </c>
      <c r="B3718" t="s">
        <v>116</v>
      </c>
    </row>
    <row r="3719" spans="1:2" x14ac:dyDescent="0.3">
      <c r="A3719" t="s">
        <v>3896</v>
      </c>
      <c r="B3719" t="s">
        <v>246</v>
      </c>
    </row>
    <row r="3720" spans="1:2" x14ac:dyDescent="0.3">
      <c r="A3720" t="s">
        <v>2247</v>
      </c>
      <c r="B3720" t="s">
        <v>568</v>
      </c>
    </row>
    <row r="3721" spans="1:2" x14ac:dyDescent="0.3">
      <c r="A3721" t="s">
        <v>2248</v>
      </c>
      <c r="B3721" t="s">
        <v>568</v>
      </c>
    </row>
    <row r="3722" spans="1:2" x14ac:dyDescent="0.3">
      <c r="A3722" t="s">
        <v>2249</v>
      </c>
      <c r="B3722" t="s">
        <v>568</v>
      </c>
    </row>
    <row r="3723" spans="1:2" x14ac:dyDescent="0.3">
      <c r="A3723" t="s">
        <v>2250</v>
      </c>
      <c r="B3723" t="s">
        <v>568</v>
      </c>
    </row>
    <row r="3724" spans="1:2" x14ac:dyDescent="0.3">
      <c r="A3724" t="s">
        <v>2610</v>
      </c>
      <c r="B3724" t="s">
        <v>568</v>
      </c>
    </row>
    <row r="3725" spans="1:2" x14ac:dyDescent="0.3">
      <c r="A3725" t="s">
        <v>3439</v>
      </c>
      <c r="B3725" t="s">
        <v>568</v>
      </c>
    </row>
    <row r="3726" spans="1:2" x14ac:dyDescent="0.3">
      <c r="A3726" t="s">
        <v>3711</v>
      </c>
      <c r="B3726" t="s">
        <v>3712</v>
      </c>
    </row>
    <row r="3727" spans="1:2" x14ac:dyDescent="0.3">
      <c r="A3727" t="s">
        <v>3437</v>
      </c>
      <c r="B3727" t="s">
        <v>3438</v>
      </c>
    </row>
    <row r="3728" spans="1:2" x14ac:dyDescent="0.3">
      <c r="A3728" t="s">
        <v>242</v>
      </c>
      <c r="B3728" t="s">
        <v>243</v>
      </c>
    </row>
    <row r="3729" spans="1:2" x14ac:dyDescent="0.3">
      <c r="A3729" t="s">
        <v>4001</v>
      </c>
      <c r="B3729" t="s">
        <v>4002</v>
      </c>
    </row>
    <row r="3730" spans="1:2" x14ac:dyDescent="0.3">
      <c r="A3730" t="s">
        <v>3903</v>
      </c>
      <c r="B3730" t="s">
        <v>491</v>
      </c>
    </row>
    <row r="3731" spans="1:2" x14ac:dyDescent="0.3">
      <c r="A3731" t="s">
        <v>3754</v>
      </c>
      <c r="B3731" t="s">
        <v>243</v>
      </c>
    </row>
    <row r="3732" spans="1:2" x14ac:dyDescent="0.3">
      <c r="A3732" t="s">
        <v>4123</v>
      </c>
      <c r="B3732" t="s">
        <v>4124</v>
      </c>
    </row>
    <row r="3733" spans="1:2" x14ac:dyDescent="0.3">
      <c r="A3733" t="s">
        <v>445</v>
      </c>
      <c r="B3733" t="s">
        <v>446</v>
      </c>
    </row>
    <row r="3734" spans="1:2" x14ac:dyDescent="0.3">
      <c r="A3734" t="s">
        <v>158</v>
      </c>
    </row>
    <row r="3735" spans="1:2" x14ac:dyDescent="0.3">
      <c r="A3735" t="s">
        <v>4794</v>
      </c>
      <c r="B3735" t="s">
        <v>893</v>
      </c>
    </row>
    <row r="3736" spans="1:2" x14ac:dyDescent="0.3">
      <c r="A3736" t="s">
        <v>1478</v>
      </c>
    </row>
    <row r="3737" spans="1:2" x14ac:dyDescent="0.3">
      <c r="A3737" t="s">
        <v>4773</v>
      </c>
      <c r="B3737" t="s">
        <v>22</v>
      </c>
    </row>
    <row r="3738" spans="1:2" x14ac:dyDescent="0.3">
      <c r="A3738" t="s">
        <v>3635</v>
      </c>
      <c r="B3738" t="s">
        <v>477</v>
      </c>
    </row>
    <row r="3739" spans="1:2" x14ac:dyDescent="0.3">
      <c r="A3739" t="s">
        <v>3636</v>
      </c>
      <c r="B3739" t="s">
        <v>22</v>
      </c>
    </row>
    <row r="3740" spans="1:2" x14ac:dyDescent="0.3">
      <c r="A3740" t="s">
        <v>2772</v>
      </c>
      <c r="B3740" t="s">
        <v>13</v>
      </c>
    </row>
    <row r="3741" spans="1:2" x14ac:dyDescent="0.3">
      <c r="A3741" t="s">
        <v>3860</v>
      </c>
      <c r="B3741" t="s">
        <v>734</v>
      </c>
    </row>
    <row r="3742" spans="1:2" x14ac:dyDescent="0.3">
      <c r="A3742" t="s">
        <v>1230</v>
      </c>
      <c r="B3742" t="s">
        <v>1231</v>
      </c>
    </row>
    <row r="3743" spans="1:2" x14ac:dyDescent="0.3">
      <c r="A3743" t="s">
        <v>1152</v>
      </c>
      <c r="B3743" t="s">
        <v>1153</v>
      </c>
    </row>
    <row r="3744" spans="1:2" x14ac:dyDescent="0.3">
      <c r="A3744" t="s">
        <v>1505</v>
      </c>
      <c r="B3744" t="s">
        <v>1153</v>
      </c>
    </row>
    <row r="3745" spans="1:2" x14ac:dyDescent="0.3">
      <c r="A3745" t="s">
        <v>3173</v>
      </c>
      <c r="B3745" t="s">
        <v>20</v>
      </c>
    </row>
    <row r="3746" spans="1:2" x14ac:dyDescent="0.3">
      <c r="A3746" t="s">
        <v>3671</v>
      </c>
      <c r="B3746" t="s">
        <v>175</v>
      </c>
    </row>
    <row r="3747" spans="1:2" x14ac:dyDescent="0.3">
      <c r="A3747" t="s">
        <v>2745</v>
      </c>
      <c r="B3747" t="s">
        <v>2746</v>
      </c>
    </row>
    <row r="3748" spans="1:2" x14ac:dyDescent="0.3">
      <c r="A3748" t="s">
        <v>2740</v>
      </c>
      <c r="B3748" t="s">
        <v>22</v>
      </c>
    </row>
    <row r="3749" spans="1:2" x14ac:dyDescent="0.3">
      <c r="A3749" t="s">
        <v>4629</v>
      </c>
      <c r="B3749" t="s">
        <v>470</v>
      </c>
    </row>
    <row r="3750" spans="1:2" x14ac:dyDescent="0.3">
      <c r="A3750" t="s">
        <v>3698</v>
      </c>
      <c r="B3750" t="s">
        <v>11</v>
      </c>
    </row>
    <row r="3751" spans="1:2" x14ac:dyDescent="0.3">
      <c r="A3751" t="s">
        <v>3891</v>
      </c>
      <c r="B3751" t="s">
        <v>175</v>
      </c>
    </row>
    <row r="3752" spans="1:2" x14ac:dyDescent="0.3">
      <c r="A3752" t="s">
        <v>4797</v>
      </c>
      <c r="B3752" t="s">
        <v>494</v>
      </c>
    </row>
    <row r="3753" spans="1:2" x14ac:dyDescent="0.3">
      <c r="A3753" t="s">
        <v>4718</v>
      </c>
      <c r="B3753" t="s">
        <v>4719</v>
      </c>
    </row>
    <row r="3754" spans="1:2" x14ac:dyDescent="0.3">
      <c r="A3754" t="s">
        <v>3159</v>
      </c>
      <c r="B3754" t="s">
        <v>3160</v>
      </c>
    </row>
    <row r="3755" spans="1:2" x14ac:dyDescent="0.3">
      <c r="A3755" t="s">
        <v>3130</v>
      </c>
      <c r="B3755" t="s">
        <v>3131</v>
      </c>
    </row>
    <row r="3756" spans="1:2" x14ac:dyDescent="0.3">
      <c r="A3756" t="s">
        <v>1274</v>
      </c>
    </row>
    <row r="3757" spans="1:2" x14ac:dyDescent="0.3">
      <c r="A3757" t="s">
        <v>3128</v>
      </c>
      <c r="B3757" t="s">
        <v>3129</v>
      </c>
    </row>
    <row r="3758" spans="1:2" x14ac:dyDescent="0.3">
      <c r="A3758" t="s">
        <v>1210</v>
      </c>
      <c r="B3758" t="s">
        <v>1211</v>
      </c>
    </row>
    <row r="3759" spans="1:2" x14ac:dyDescent="0.3">
      <c r="A3759" t="s">
        <v>1310</v>
      </c>
      <c r="B3759" t="s">
        <v>629</v>
      </c>
    </row>
    <row r="3760" spans="1:2" x14ac:dyDescent="0.3">
      <c r="A3760" t="s">
        <v>1479</v>
      </c>
      <c r="B3760" t="s">
        <v>1480</v>
      </c>
    </row>
    <row r="3761" spans="1:2" x14ac:dyDescent="0.3">
      <c r="A3761" t="s">
        <v>1481</v>
      </c>
      <c r="B3761" t="s">
        <v>1319</v>
      </c>
    </row>
    <row r="3762" spans="1:2" x14ac:dyDescent="0.3">
      <c r="A3762" t="s">
        <v>2703</v>
      </c>
      <c r="B3762" t="s">
        <v>129</v>
      </c>
    </row>
    <row r="3763" spans="1:2" x14ac:dyDescent="0.3">
      <c r="A3763" t="s">
        <v>1299</v>
      </c>
    </row>
    <row r="3764" spans="1:2" x14ac:dyDescent="0.3">
      <c r="A3764" t="s">
        <v>2928</v>
      </c>
      <c r="B3764" t="s">
        <v>2929</v>
      </c>
    </row>
    <row r="3765" spans="1:2" x14ac:dyDescent="0.3">
      <c r="A3765" t="s">
        <v>4382</v>
      </c>
      <c r="B3765" t="s">
        <v>4383</v>
      </c>
    </row>
    <row r="3766" spans="1:2" x14ac:dyDescent="0.3">
      <c r="A3766" t="s">
        <v>479</v>
      </c>
    </row>
    <row r="3767" spans="1:2" x14ac:dyDescent="0.3">
      <c r="A3767" t="s">
        <v>2973</v>
      </c>
      <c r="B3767" t="s">
        <v>2974</v>
      </c>
    </row>
    <row r="3768" spans="1:2" x14ac:dyDescent="0.3">
      <c r="A3768" t="s">
        <v>4620</v>
      </c>
      <c r="B3768" t="s">
        <v>4621</v>
      </c>
    </row>
    <row r="3769" spans="1:2" x14ac:dyDescent="0.3">
      <c r="A3769" t="s">
        <v>3853</v>
      </c>
      <c r="B3769" t="s">
        <v>22</v>
      </c>
    </row>
    <row r="3770" spans="1:2" x14ac:dyDescent="0.3">
      <c r="A3770" t="s">
        <v>3898</v>
      </c>
      <c r="B3770" t="s">
        <v>363</v>
      </c>
    </row>
    <row r="3771" spans="1:2" x14ac:dyDescent="0.3">
      <c r="A3771" t="s">
        <v>3338</v>
      </c>
      <c r="B3771" t="s">
        <v>132</v>
      </c>
    </row>
    <row r="3772" spans="1:2" x14ac:dyDescent="0.3">
      <c r="A3772" t="s">
        <v>793</v>
      </c>
      <c r="B3772" t="s">
        <v>794</v>
      </c>
    </row>
    <row r="3773" spans="1:2" x14ac:dyDescent="0.3">
      <c r="A3773" t="s">
        <v>4722</v>
      </c>
      <c r="B3773" t="s">
        <v>278</v>
      </c>
    </row>
    <row r="3774" spans="1:2" x14ac:dyDescent="0.3">
      <c r="A3774" t="s">
        <v>1244</v>
      </c>
      <c r="B3774" t="s">
        <v>1245</v>
      </c>
    </row>
    <row r="3775" spans="1:2" x14ac:dyDescent="0.3">
      <c r="A3775" t="s">
        <v>4789</v>
      </c>
      <c r="B3775" t="s">
        <v>353</v>
      </c>
    </row>
    <row r="3776" spans="1:2" x14ac:dyDescent="0.3">
      <c r="A3776" t="s">
        <v>3895</v>
      </c>
      <c r="B3776" t="s">
        <v>363</v>
      </c>
    </row>
    <row r="3777" spans="1:2" x14ac:dyDescent="0.3">
      <c r="A3777" t="s">
        <v>367</v>
      </c>
      <c r="B3777" t="s">
        <v>363</v>
      </c>
    </row>
    <row r="3778" spans="1:2" x14ac:dyDescent="0.3">
      <c r="A3778" t="s">
        <v>4167</v>
      </c>
      <c r="B3778" t="s">
        <v>11</v>
      </c>
    </row>
    <row r="3779" spans="1:2" x14ac:dyDescent="0.3">
      <c r="A3779" t="s">
        <v>3114</v>
      </c>
      <c r="B3779" t="s">
        <v>264</v>
      </c>
    </row>
    <row r="3780" spans="1:2" x14ac:dyDescent="0.3">
      <c r="A3780" t="s">
        <v>3088</v>
      </c>
      <c r="B3780" t="s">
        <v>3089</v>
      </c>
    </row>
    <row r="3781" spans="1:2" x14ac:dyDescent="0.3">
      <c r="A3781" t="s">
        <v>2718</v>
      </c>
    </row>
    <row r="3782" spans="1:2" x14ac:dyDescent="0.3">
      <c r="A3782" t="s">
        <v>3758</v>
      </c>
      <c r="B3782" t="s">
        <v>3590</v>
      </c>
    </row>
    <row r="3783" spans="1:2" x14ac:dyDescent="0.3">
      <c r="A3783" t="s">
        <v>3394</v>
      </c>
      <c r="B3783" t="s">
        <v>3395</v>
      </c>
    </row>
    <row r="3784" spans="1:2" x14ac:dyDescent="0.3">
      <c r="A3784" t="s">
        <v>3387</v>
      </c>
      <c r="B3784" t="s">
        <v>264</v>
      </c>
    </row>
    <row r="3785" spans="1:2" x14ac:dyDescent="0.3">
      <c r="A3785" t="s">
        <v>2105</v>
      </c>
      <c r="B3785" t="s">
        <v>2106</v>
      </c>
    </row>
    <row r="3786" spans="1:2" x14ac:dyDescent="0.3">
      <c r="A3786" t="s">
        <v>3096</v>
      </c>
      <c r="B3786" t="s">
        <v>128</v>
      </c>
    </row>
    <row r="3787" spans="1:2" x14ac:dyDescent="0.3">
      <c r="A3787" t="s">
        <v>2920</v>
      </c>
      <c r="B3787" t="s">
        <v>11</v>
      </c>
    </row>
    <row r="3788" spans="1:2" x14ac:dyDescent="0.3">
      <c r="A3788" t="s">
        <v>2656</v>
      </c>
      <c r="B3788" t="s">
        <v>11</v>
      </c>
    </row>
    <row r="3789" spans="1:2" x14ac:dyDescent="0.3">
      <c r="A3789" t="s">
        <v>628</v>
      </c>
      <c r="B3789" t="s">
        <v>629</v>
      </c>
    </row>
    <row r="3790" spans="1:2" x14ac:dyDescent="0.3">
      <c r="A3790" t="s">
        <v>3110</v>
      </c>
      <c r="B3790" t="s">
        <v>2308</v>
      </c>
    </row>
    <row r="3791" spans="1:2" x14ac:dyDescent="0.3">
      <c r="A3791" t="s">
        <v>2964</v>
      </c>
      <c r="B3791" t="s">
        <v>2965</v>
      </c>
    </row>
    <row r="3792" spans="1:2" x14ac:dyDescent="0.3">
      <c r="A3792" t="s">
        <v>3428</v>
      </c>
      <c r="B3792" t="s">
        <v>739</v>
      </c>
    </row>
    <row r="3793" spans="1:2" x14ac:dyDescent="0.3">
      <c r="A3793" t="s">
        <v>3531</v>
      </c>
      <c r="B3793" t="s">
        <v>246</v>
      </c>
    </row>
    <row r="3794" spans="1:2" x14ac:dyDescent="0.3">
      <c r="A3794" t="s">
        <v>2338</v>
      </c>
      <c r="B3794" t="s">
        <v>2318</v>
      </c>
    </row>
    <row r="3795" spans="1:2" x14ac:dyDescent="0.3">
      <c r="A3795" t="s">
        <v>1314</v>
      </c>
      <c r="B3795" t="s">
        <v>1315</v>
      </c>
    </row>
    <row r="3796" spans="1:2" x14ac:dyDescent="0.3">
      <c r="A3796" t="s">
        <v>2677</v>
      </c>
      <c r="B3796" t="s">
        <v>446</v>
      </c>
    </row>
    <row r="3797" spans="1:2" x14ac:dyDescent="0.3">
      <c r="A3797" t="s">
        <v>3158</v>
      </c>
      <c r="B3797" t="s">
        <v>1541</v>
      </c>
    </row>
    <row r="3798" spans="1:2" x14ac:dyDescent="0.3">
      <c r="A3798" t="s">
        <v>3274</v>
      </c>
      <c r="B3798" t="s">
        <v>413</v>
      </c>
    </row>
    <row r="3799" spans="1:2" x14ac:dyDescent="0.3">
      <c r="A3799" t="s">
        <v>4115</v>
      </c>
      <c r="B3799" t="s">
        <v>132</v>
      </c>
    </row>
    <row r="3800" spans="1:2" x14ac:dyDescent="0.3">
      <c r="A3800" t="s">
        <v>4380</v>
      </c>
      <c r="B3800" t="s">
        <v>132</v>
      </c>
    </row>
    <row r="3801" spans="1:2" x14ac:dyDescent="0.3">
      <c r="A3801" t="s">
        <v>2216</v>
      </c>
      <c r="B3801" t="s">
        <v>1414</v>
      </c>
    </row>
    <row r="3802" spans="1:2" x14ac:dyDescent="0.3">
      <c r="A3802" t="s">
        <v>2217</v>
      </c>
      <c r="B3802" t="s">
        <v>184</v>
      </c>
    </row>
    <row r="3803" spans="1:2" x14ac:dyDescent="0.3">
      <c r="A3803" t="s">
        <v>4625</v>
      </c>
      <c r="B3803" t="s">
        <v>11</v>
      </c>
    </row>
    <row r="3804" spans="1:2" x14ac:dyDescent="0.3">
      <c r="A3804" t="s">
        <v>4255</v>
      </c>
      <c r="B3804" t="s">
        <v>11</v>
      </c>
    </row>
    <row r="3805" spans="1:2" x14ac:dyDescent="0.3">
      <c r="A3805" t="s">
        <v>4508</v>
      </c>
      <c r="B3805" t="s">
        <v>11</v>
      </c>
    </row>
    <row r="3806" spans="1:2" x14ac:dyDescent="0.3">
      <c r="A3806" t="s">
        <v>1585</v>
      </c>
    </row>
    <row r="3807" spans="1:2" x14ac:dyDescent="0.3">
      <c r="A3807" t="s">
        <v>1586</v>
      </c>
    </row>
    <row r="3808" spans="1:2" x14ac:dyDescent="0.3">
      <c r="A3808" t="s">
        <v>1587</v>
      </c>
    </row>
    <row r="3809" spans="1:2" x14ac:dyDescent="0.3">
      <c r="A3809" t="s">
        <v>1584</v>
      </c>
    </row>
    <row r="3810" spans="1:2" x14ac:dyDescent="0.3">
      <c r="A3810" t="s">
        <v>1588</v>
      </c>
    </row>
    <row r="3811" spans="1:2" x14ac:dyDescent="0.3">
      <c r="A3811" t="s">
        <v>1582</v>
      </c>
      <c r="B3811" t="s">
        <v>1583</v>
      </c>
    </row>
    <row r="3812" spans="1:2" x14ac:dyDescent="0.3">
      <c r="A3812" t="s">
        <v>1589</v>
      </c>
    </row>
    <row r="3813" spans="1:2" x14ac:dyDescent="0.3">
      <c r="A3813" t="s">
        <v>1590</v>
      </c>
    </row>
    <row r="3814" spans="1:2" x14ac:dyDescent="0.3">
      <c r="A3814" t="s">
        <v>1591</v>
      </c>
    </row>
    <row r="3815" spans="1:2" x14ac:dyDescent="0.3">
      <c r="A3815" t="s">
        <v>1592</v>
      </c>
    </row>
    <row r="3816" spans="1:2" x14ac:dyDescent="0.3">
      <c r="A3816" t="s">
        <v>1593</v>
      </c>
    </row>
    <row r="3817" spans="1:2" x14ac:dyDescent="0.3">
      <c r="A3817" t="s">
        <v>2540</v>
      </c>
      <c r="B3817" t="s">
        <v>477</v>
      </c>
    </row>
    <row r="3818" spans="1:2" x14ac:dyDescent="0.3">
      <c r="A3818" t="s">
        <v>4131</v>
      </c>
      <c r="B3818" t="s">
        <v>4132</v>
      </c>
    </row>
    <row r="3819" spans="1:2" x14ac:dyDescent="0.3">
      <c r="A3819" t="s">
        <v>4693</v>
      </c>
      <c r="B3819" t="s">
        <v>4694</v>
      </c>
    </row>
    <row r="3820" spans="1:2" x14ac:dyDescent="0.3">
      <c r="A3820" t="s">
        <v>2856</v>
      </c>
      <c r="B3820" t="s">
        <v>336</v>
      </c>
    </row>
    <row r="3821" spans="1:2" x14ac:dyDescent="0.3">
      <c r="A3821" t="s">
        <v>1734</v>
      </c>
      <c r="B3821" t="s">
        <v>1735</v>
      </c>
    </row>
    <row r="3822" spans="1:2" x14ac:dyDescent="0.3">
      <c r="A3822" t="s">
        <v>2156</v>
      </c>
      <c r="B3822" t="s">
        <v>264</v>
      </c>
    </row>
    <row r="3823" spans="1:2" x14ac:dyDescent="0.3">
      <c r="A3823" t="s">
        <v>2676</v>
      </c>
      <c r="B3823" t="s">
        <v>264</v>
      </c>
    </row>
    <row r="3824" spans="1:2" x14ac:dyDescent="0.3">
      <c r="A3824" t="s">
        <v>3876</v>
      </c>
      <c r="B3824" t="s">
        <v>3877</v>
      </c>
    </row>
    <row r="3825" spans="1:2" x14ac:dyDescent="0.3">
      <c r="A3825" t="s">
        <v>3040</v>
      </c>
      <c r="B3825" t="s">
        <v>246</v>
      </c>
    </row>
    <row r="3826" spans="1:2" x14ac:dyDescent="0.3">
      <c r="A3826" t="s">
        <v>4100</v>
      </c>
      <c r="B3826" t="s">
        <v>246</v>
      </c>
    </row>
    <row r="3827" spans="1:2" x14ac:dyDescent="0.3">
      <c r="A3827" t="s">
        <v>4097</v>
      </c>
      <c r="B3827" t="s">
        <v>4098</v>
      </c>
    </row>
    <row r="3828" spans="1:2" x14ac:dyDescent="0.3">
      <c r="A3828" t="s">
        <v>815</v>
      </c>
    </row>
    <row r="3829" spans="1:2" x14ac:dyDescent="0.3">
      <c r="A3829" t="s">
        <v>808</v>
      </c>
    </row>
    <row r="3830" spans="1:2" x14ac:dyDescent="0.3">
      <c r="A3830" t="s">
        <v>807</v>
      </c>
    </row>
    <row r="3831" spans="1:2" x14ac:dyDescent="0.3">
      <c r="A3831" t="s">
        <v>350</v>
      </c>
      <c r="B3831" t="s">
        <v>351</v>
      </c>
    </row>
    <row r="3832" spans="1:2" x14ac:dyDescent="0.3">
      <c r="A3832" t="s">
        <v>2195</v>
      </c>
      <c r="B3832" t="s">
        <v>22</v>
      </c>
    </row>
    <row r="3833" spans="1:2" x14ac:dyDescent="0.3">
      <c r="A3833" t="s">
        <v>2728</v>
      </c>
      <c r="B3833" t="s">
        <v>18</v>
      </c>
    </row>
    <row r="3834" spans="1:2" x14ac:dyDescent="0.3">
      <c r="A3834" t="s">
        <v>1269</v>
      </c>
      <c r="B3834" t="s">
        <v>1107</v>
      </c>
    </row>
    <row r="3835" spans="1:2" x14ac:dyDescent="0.3">
      <c r="A3835" t="s">
        <v>767</v>
      </c>
      <c r="B3835" t="s">
        <v>768</v>
      </c>
    </row>
    <row r="3836" spans="1:2" x14ac:dyDescent="0.3">
      <c r="A3836" t="s">
        <v>771</v>
      </c>
      <c r="B3836" t="s">
        <v>772</v>
      </c>
    </row>
    <row r="3837" spans="1:2" x14ac:dyDescent="0.3">
      <c r="A3837" t="s">
        <v>4145</v>
      </c>
      <c r="B3837" t="s">
        <v>4146</v>
      </c>
    </row>
    <row r="3838" spans="1:2" x14ac:dyDescent="0.3">
      <c r="A3838" t="s">
        <v>975</v>
      </c>
      <c r="B3838" t="s">
        <v>181</v>
      </c>
    </row>
    <row r="3839" spans="1:2" x14ac:dyDescent="0.3">
      <c r="A3839" t="s">
        <v>4147</v>
      </c>
      <c r="B3839" t="s">
        <v>4148</v>
      </c>
    </row>
    <row r="3840" spans="1:2" x14ac:dyDescent="0.3">
      <c r="A3840" t="s">
        <v>4149</v>
      </c>
      <c r="B3840" t="s">
        <v>4150</v>
      </c>
    </row>
    <row r="3841" spans="1:2" x14ac:dyDescent="0.3">
      <c r="A3841" t="s">
        <v>704</v>
      </c>
      <c r="B3841" t="s">
        <v>259</v>
      </c>
    </row>
    <row r="3842" spans="1:2" x14ac:dyDescent="0.3">
      <c r="A3842" t="s">
        <v>2061</v>
      </c>
      <c r="B3842" t="s">
        <v>2062</v>
      </c>
    </row>
    <row r="3843" spans="1:2" x14ac:dyDescent="0.3">
      <c r="A3843" t="s">
        <v>1547</v>
      </c>
      <c r="B3843" t="s">
        <v>1548</v>
      </c>
    </row>
    <row r="3844" spans="1:2" x14ac:dyDescent="0.3">
      <c r="A3844" t="s">
        <v>877</v>
      </c>
      <c r="B3844" t="s">
        <v>490</v>
      </c>
    </row>
    <row r="3845" spans="1:2" x14ac:dyDescent="0.3">
      <c r="A3845" t="s">
        <v>1755</v>
      </c>
    </row>
    <row r="3846" spans="1:2" x14ac:dyDescent="0.3">
      <c r="A3846" t="s">
        <v>4737</v>
      </c>
      <c r="B3846" t="s">
        <v>4738</v>
      </c>
    </row>
    <row r="3847" spans="1:2" x14ac:dyDescent="0.3">
      <c r="A3847" t="s">
        <v>3339</v>
      </c>
      <c r="B3847" t="s">
        <v>3340</v>
      </c>
    </row>
    <row r="3848" spans="1:2" x14ac:dyDescent="0.3">
      <c r="A3848" t="s">
        <v>3341</v>
      </c>
      <c r="B3848" t="s">
        <v>1941</v>
      </c>
    </row>
    <row r="3849" spans="1:2" x14ac:dyDescent="0.3">
      <c r="A3849" t="s">
        <v>3342</v>
      </c>
      <c r="B3849" t="s">
        <v>18</v>
      </c>
    </row>
    <row r="3850" spans="1:2" x14ac:dyDescent="0.3">
      <c r="A3850" t="s">
        <v>3347</v>
      </c>
      <c r="B3850" t="s">
        <v>3348</v>
      </c>
    </row>
    <row r="3851" spans="1:2" x14ac:dyDescent="0.3">
      <c r="A3851" t="s">
        <v>3336</v>
      </c>
      <c r="B3851" t="s">
        <v>3337</v>
      </c>
    </row>
    <row r="3852" spans="1:2" x14ac:dyDescent="0.3">
      <c r="A3852" t="s">
        <v>3343</v>
      </c>
      <c r="B3852" t="s">
        <v>3344</v>
      </c>
    </row>
    <row r="3853" spans="1:2" x14ac:dyDescent="0.3">
      <c r="A3853" t="s">
        <v>2726</v>
      </c>
      <c r="B3853" t="s">
        <v>2727</v>
      </c>
    </row>
    <row r="3854" spans="1:2" x14ac:dyDescent="0.3">
      <c r="A3854" t="s">
        <v>274</v>
      </c>
      <c r="B3854" t="s">
        <v>275</v>
      </c>
    </row>
    <row r="3855" spans="1:2" x14ac:dyDescent="0.3">
      <c r="A3855" t="s">
        <v>2245</v>
      </c>
      <c r="B3855" t="s">
        <v>264</v>
      </c>
    </row>
    <row r="3856" spans="1:2" x14ac:dyDescent="0.3">
      <c r="A3856" t="s">
        <v>2662</v>
      </c>
      <c r="B3856" t="s">
        <v>2663</v>
      </c>
    </row>
    <row r="3857" spans="1:2" x14ac:dyDescent="0.3">
      <c r="A3857" t="s">
        <v>4346</v>
      </c>
      <c r="B3857" t="s">
        <v>553</v>
      </c>
    </row>
    <row r="3858" spans="1:2" x14ac:dyDescent="0.3">
      <c r="A3858" t="s">
        <v>4631</v>
      </c>
      <c r="B3858" t="s">
        <v>4632</v>
      </c>
    </row>
    <row r="3859" spans="1:2" x14ac:dyDescent="0.3">
      <c r="A3859" t="s">
        <v>3260</v>
      </c>
      <c r="B3859" t="s">
        <v>3259</v>
      </c>
    </row>
    <row r="3860" spans="1:2" x14ac:dyDescent="0.3">
      <c r="A3860" t="s">
        <v>3261</v>
      </c>
      <c r="B3860" t="s">
        <v>3259</v>
      </c>
    </row>
    <row r="3861" spans="1:2" x14ac:dyDescent="0.3">
      <c r="A3861" t="s">
        <v>3229</v>
      </c>
      <c r="B3861" t="s">
        <v>470</v>
      </c>
    </row>
    <row r="3862" spans="1:2" x14ac:dyDescent="0.3">
      <c r="A3862" t="s">
        <v>3414</v>
      </c>
      <c r="B3862" t="s">
        <v>470</v>
      </c>
    </row>
    <row r="3863" spans="1:2" x14ac:dyDescent="0.3">
      <c r="A3863" t="s">
        <v>1486</v>
      </c>
      <c r="B3863" t="s">
        <v>470</v>
      </c>
    </row>
    <row r="3864" spans="1:2" x14ac:dyDescent="0.3">
      <c r="A3864" t="s">
        <v>1223</v>
      </c>
      <c r="B3864" t="s">
        <v>470</v>
      </c>
    </row>
    <row r="3865" spans="1:2" x14ac:dyDescent="0.3">
      <c r="A3865" t="s">
        <v>952</v>
      </c>
      <c r="B3865" t="s">
        <v>950</v>
      </c>
    </row>
    <row r="3866" spans="1:2" x14ac:dyDescent="0.3">
      <c r="A3866" t="s">
        <v>3376</v>
      </c>
      <c r="B3866" t="s">
        <v>470</v>
      </c>
    </row>
    <row r="3867" spans="1:2" x14ac:dyDescent="0.3">
      <c r="A3867" t="s">
        <v>3248</v>
      </c>
      <c r="B3867" t="s">
        <v>3249</v>
      </c>
    </row>
    <row r="3868" spans="1:2" x14ac:dyDescent="0.3">
      <c r="A3868" t="s">
        <v>2801</v>
      </c>
      <c r="B3868" t="s">
        <v>2802</v>
      </c>
    </row>
    <row r="3869" spans="1:2" x14ac:dyDescent="0.3">
      <c r="A3869" t="s">
        <v>1653</v>
      </c>
      <c r="B3869" t="s">
        <v>22</v>
      </c>
    </row>
    <row r="3870" spans="1:2" x14ac:dyDescent="0.3">
      <c r="A3870" t="s">
        <v>2971</v>
      </c>
      <c r="B3870" t="s">
        <v>568</v>
      </c>
    </row>
    <row r="3871" spans="1:2" x14ac:dyDescent="0.3">
      <c r="A3871" t="s">
        <v>1809</v>
      </c>
      <c r="B3871" t="s">
        <v>568</v>
      </c>
    </row>
    <row r="3872" spans="1:2" x14ac:dyDescent="0.3">
      <c r="A3872" t="s">
        <v>1808</v>
      </c>
      <c r="B3872" t="s">
        <v>568</v>
      </c>
    </row>
    <row r="3873" spans="1:2" x14ac:dyDescent="0.3">
      <c r="A3873" t="s">
        <v>2765</v>
      </c>
      <c r="B3873" t="s">
        <v>1307</v>
      </c>
    </row>
    <row r="3874" spans="1:2" x14ac:dyDescent="0.3">
      <c r="A3874" t="s">
        <v>3389</v>
      </c>
      <c r="B3874" t="s">
        <v>353</v>
      </c>
    </row>
    <row r="3875" spans="1:2" x14ac:dyDescent="0.3">
      <c r="A3875" t="s">
        <v>2611</v>
      </c>
      <c r="B3875" t="s">
        <v>2106</v>
      </c>
    </row>
    <row r="3876" spans="1:2" x14ac:dyDescent="0.3">
      <c r="A3876" t="s">
        <v>1876</v>
      </c>
    </row>
    <row r="3877" spans="1:2" x14ac:dyDescent="0.3">
      <c r="A3877" t="s">
        <v>2887</v>
      </c>
      <c r="B3877" t="s">
        <v>1572</v>
      </c>
    </row>
    <row r="3878" spans="1:2" x14ac:dyDescent="0.3">
      <c r="A3878" t="s">
        <v>3097</v>
      </c>
      <c r="B3878" t="s">
        <v>3098</v>
      </c>
    </row>
    <row r="3879" spans="1:2" x14ac:dyDescent="0.3">
      <c r="A3879" t="s">
        <v>3388</v>
      </c>
      <c r="B3879" t="s">
        <v>353</v>
      </c>
    </row>
    <row r="3880" spans="1:2" x14ac:dyDescent="0.3">
      <c r="A3880" t="s">
        <v>3117</v>
      </c>
      <c r="B3880" t="s">
        <v>264</v>
      </c>
    </row>
    <row r="3881" spans="1:2" x14ac:dyDescent="0.3">
      <c r="A3881" t="s">
        <v>2720</v>
      </c>
      <c r="B3881" t="s">
        <v>2721</v>
      </c>
    </row>
    <row r="3882" spans="1:2" x14ac:dyDescent="0.3">
      <c r="A3882" t="s">
        <v>2503</v>
      </c>
      <c r="B3882" t="s">
        <v>2504</v>
      </c>
    </row>
    <row r="3883" spans="1:2" x14ac:dyDescent="0.3">
      <c r="A3883" t="s">
        <v>4634</v>
      </c>
      <c r="B3883" t="s">
        <v>4635</v>
      </c>
    </row>
    <row r="3884" spans="1:2" x14ac:dyDescent="0.3">
      <c r="A3884" t="s">
        <v>4071</v>
      </c>
      <c r="B3884" t="s">
        <v>4072</v>
      </c>
    </row>
    <row r="3885" spans="1:2" x14ac:dyDescent="0.3">
      <c r="A3885" t="s">
        <v>3390</v>
      </c>
      <c r="B3885" t="s">
        <v>1572</v>
      </c>
    </row>
    <row r="3886" spans="1:2" x14ac:dyDescent="0.3">
      <c r="A3886" t="s">
        <v>3866</v>
      </c>
      <c r="B3886" t="s">
        <v>3867</v>
      </c>
    </row>
    <row r="3887" spans="1:2" x14ac:dyDescent="0.3">
      <c r="A3887" t="s">
        <v>2507</v>
      </c>
      <c r="B3887" t="s">
        <v>1267</v>
      </c>
    </row>
    <row r="3888" spans="1:2" x14ac:dyDescent="0.3">
      <c r="A3888" t="s">
        <v>3391</v>
      </c>
      <c r="B3888" t="s">
        <v>3392</v>
      </c>
    </row>
    <row r="3889" spans="1:2" x14ac:dyDescent="0.3">
      <c r="A3889" t="s">
        <v>622</v>
      </c>
      <c r="B3889" t="s">
        <v>11</v>
      </c>
    </row>
    <row r="3890" spans="1:2" x14ac:dyDescent="0.3">
      <c r="A3890" t="s">
        <v>4035</v>
      </c>
      <c r="B3890" t="s">
        <v>151</v>
      </c>
    </row>
    <row r="3891" spans="1:2" x14ac:dyDescent="0.3">
      <c r="A3891" t="s">
        <v>2909</v>
      </c>
      <c r="B3891" t="s">
        <v>132</v>
      </c>
    </row>
    <row r="3892" spans="1:2" x14ac:dyDescent="0.3">
      <c r="A3892" t="s">
        <v>2925</v>
      </c>
      <c r="B3892" t="s">
        <v>2926</v>
      </c>
    </row>
    <row r="3893" spans="1:2" x14ac:dyDescent="0.3">
      <c r="A3893" t="s">
        <v>2734</v>
      </c>
      <c r="B3893" t="s">
        <v>2735</v>
      </c>
    </row>
    <row r="3894" spans="1:2" x14ac:dyDescent="0.3">
      <c r="A3894" t="s">
        <v>2900</v>
      </c>
      <c r="B3894" t="s">
        <v>2735</v>
      </c>
    </row>
    <row r="3895" spans="1:2" x14ac:dyDescent="0.3">
      <c r="A3895" t="s">
        <v>4550</v>
      </c>
      <c r="B3895" t="s">
        <v>4551</v>
      </c>
    </row>
    <row r="3896" spans="1:2" x14ac:dyDescent="0.3">
      <c r="A3896" t="s">
        <v>880</v>
      </c>
      <c r="B3896" t="s">
        <v>879</v>
      </c>
    </row>
    <row r="3897" spans="1:2" x14ac:dyDescent="0.3">
      <c r="A3897" t="s">
        <v>537</v>
      </c>
      <c r="B3897" t="s">
        <v>538</v>
      </c>
    </row>
    <row r="3898" spans="1:2" x14ac:dyDescent="0.3">
      <c r="A3898" t="s">
        <v>2299</v>
      </c>
      <c r="B3898" t="s">
        <v>2300</v>
      </c>
    </row>
    <row r="3899" spans="1:2" x14ac:dyDescent="0.3">
      <c r="A3899" t="s">
        <v>3889</v>
      </c>
      <c r="B3899" t="s">
        <v>3890</v>
      </c>
    </row>
    <row r="3900" spans="1:2" x14ac:dyDescent="0.3">
      <c r="A3900" t="s">
        <v>209</v>
      </c>
      <c r="B3900" t="s">
        <v>210</v>
      </c>
    </row>
    <row r="3901" spans="1:2" x14ac:dyDescent="0.3">
      <c r="A3901" t="s">
        <v>256</v>
      </c>
      <c r="B3901" t="s">
        <v>257</v>
      </c>
    </row>
    <row r="3902" spans="1:2" x14ac:dyDescent="0.3">
      <c r="A3902" t="s">
        <v>4056</v>
      </c>
      <c r="B3902" t="s">
        <v>3293</v>
      </c>
    </row>
    <row r="3903" spans="1:2" x14ac:dyDescent="0.3">
      <c r="A3903" t="s">
        <v>4263</v>
      </c>
      <c r="B3903" t="s">
        <v>4264</v>
      </c>
    </row>
    <row r="3904" spans="1:2" x14ac:dyDescent="0.3">
      <c r="A3904" t="s">
        <v>4265</v>
      </c>
      <c r="B3904" t="s">
        <v>864</v>
      </c>
    </row>
    <row r="3905" spans="1:2" x14ac:dyDescent="0.3">
      <c r="A3905" t="s">
        <v>4269</v>
      </c>
      <c r="B3905" t="s">
        <v>635</v>
      </c>
    </row>
    <row r="3906" spans="1:2" x14ac:dyDescent="0.3">
      <c r="A3906" t="s">
        <v>4266</v>
      </c>
      <c r="B3906" t="s">
        <v>3320</v>
      </c>
    </row>
    <row r="3907" spans="1:2" x14ac:dyDescent="0.3">
      <c r="A3907" t="s">
        <v>4267</v>
      </c>
      <c r="B3907" t="s">
        <v>3320</v>
      </c>
    </row>
    <row r="3908" spans="1:2" x14ac:dyDescent="0.3">
      <c r="A3908" t="s">
        <v>4268</v>
      </c>
      <c r="B3908" t="s">
        <v>3320</v>
      </c>
    </row>
    <row r="3909" spans="1:2" x14ac:dyDescent="0.3">
      <c r="A3909" t="s">
        <v>4270</v>
      </c>
      <c r="B3909" t="s">
        <v>4271</v>
      </c>
    </row>
    <row r="3910" spans="1:2" x14ac:dyDescent="0.3">
      <c r="A3910" t="s">
        <v>4272</v>
      </c>
      <c r="B3910" t="s">
        <v>136</v>
      </c>
    </row>
    <row r="3911" spans="1:2" x14ac:dyDescent="0.3">
      <c r="A3911" t="s">
        <v>3083</v>
      </c>
      <c r="B3911" t="s">
        <v>3084</v>
      </c>
    </row>
    <row r="3912" spans="1:2" x14ac:dyDescent="0.3">
      <c r="A3912" t="s">
        <v>3017</v>
      </c>
      <c r="B3912" t="s">
        <v>672</v>
      </c>
    </row>
    <row r="3913" spans="1:2" x14ac:dyDescent="0.3">
      <c r="A3913" t="s">
        <v>3774</v>
      </c>
      <c r="B3913" t="s">
        <v>3775</v>
      </c>
    </row>
    <row r="3914" spans="1:2" x14ac:dyDescent="0.3">
      <c r="A3914" t="s">
        <v>901</v>
      </c>
      <c r="B3914" t="s">
        <v>363</v>
      </c>
    </row>
    <row r="3915" spans="1:2" x14ac:dyDescent="0.3">
      <c r="A3915" t="s">
        <v>2038</v>
      </c>
      <c r="B3915" t="s">
        <v>2039</v>
      </c>
    </row>
    <row r="3916" spans="1:2" x14ac:dyDescent="0.3">
      <c r="A3916" t="s">
        <v>1899</v>
      </c>
      <c r="B3916" t="s">
        <v>786</v>
      </c>
    </row>
    <row r="3917" spans="1:2" x14ac:dyDescent="0.3">
      <c r="A3917" t="s">
        <v>633</v>
      </c>
      <c r="B3917" t="s">
        <v>11</v>
      </c>
    </row>
    <row r="3918" spans="1:2" x14ac:dyDescent="0.3">
      <c r="A3918" t="s">
        <v>3314</v>
      </c>
      <c r="B3918" t="s">
        <v>3315</v>
      </c>
    </row>
    <row r="3919" spans="1:2" x14ac:dyDescent="0.3">
      <c r="A3919" t="s">
        <v>3713</v>
      </c>
      <c r="B3919" t="s">
        <v>538</v>
      </c>
    </row>
    <row r="3920" spans="1:2" x14ac:dyDescent="0.3">
      <c r="A3920" t="s">
        <v>2776</v>
      </c>
      <c r="B3920" t="s">
        <v>538</v>
      </c>
    </row>
    <row r="3921" spans="1:2" x14ac:dyDescent="0.3">
      <c r="A3921" t="s">
        <v>16</v>
      </c>
    </row>
    <row r="3922" spans="1:2" x14ac:dyDescent="0.3">
      <c r="A3922" t="s">
        <v>3272</v>
      </c>
      <c r="B3922" t="s">
        <v>3273</v>
      </c>
    </row>
    <row r="3923" spans="1:2" x14ac:dyDescent="0.3">
      <c r="A3923" t="s">
        <v>3986</v>
      </c>
      <c r="B3923" t="s">
        <v>13</v>
      </c>
    </row>
    <row r="3924" spans="1:2" x14ac:dyDescent="0.3">
      <c r="A3924" t="s">
        <v>3143</v>
      </c>
      <c r="B3924" t="s">
        <v>3144</v>
      </c>
    </row>
    <row r="3925" spans="1:2" x14ac:dyDescent="0.3">
      <c r="A3925" t="s">
        <v>2203</v>
      </c>
    </row>
    <row r="3926" spans="1:2" x14ac:dyDescent="0.3">
      <c r="A3926" t="s">
        <v>4275</v>
      </c>
      <c r="B3926" t="s">
        <v>173</v>
      </c>
    </row>
    <row r="3927" spans="1:2" x14ac:dyDescent="0.3">
      <c r="A3927" t="s">
        <v>146</v>
      </c>
      <c r="B3927" t="s">
        <v>147</v>
      </c>
    </row>
    <row r="3928" spans="1:2" x14ac:dyDescent="0.3">
      <c r="A3928" t="s">
        <v>4359</v>
      </c>
      <c r="B3928" t="s">
        <v>4360</v>
      </c>
    </row>
    <row r="3929" spans="1:2" x14ac:dyDescent="0.3">
      <c r="A3929" t="s">
        <v>2869</v>
      </c>
      <c r="B3929" t="s">
        <v>2870</v>
      </c>
    </row>
    <row r="3930" spans="1:2" x14ac:dyDescent="0.3">
      <c r="A3930" t="s">
        <v>4445</v>
      </c>
      <c r="B3930" t="s">
        <v>1081</v>
      </c>
    </row>
    <row r="3931" spans="1:2" x14ac:dyDescent="0.3">
      <c r="A3931" t="s">
        <v>3256</v>
      </c>
      <c r="B3931" t="s">
        <v>3257</v>
      </c>
    </row>
    <row r="3932" spans="1:2" x14ac:dyDescent="0.3">
      <c r="A3932" t="s">
        <v>1758</v>
      </c>
      <c r="B3932" t="s">
        <v>1759</v>
      </c>
    </row>
    <row r="3933" spans="1:2" x14ac:dyDescent="0.3">
      <c r="A3933" t="s">
        <v>3411</v>
      </c>
      <c r="B3933" t="s">
        <v>3412</v>
      </c>
    </row>
    <row r="3934" spans="1:2" x14ac:dyDescent="0.3">
      <c r="A3934" t="s">
        <v>1840</v>
      </c>
      <c r="B3934" t="s">
        <v>116</v>
      </c>
    </row>
    <row r="3935" spans="1:2" x14ac:dyDescent="0.3">
      <c r="A3935" t="s">
        <v>1705</v>
      </c>
      <c r="B3935" t="s">
        <v>1706</v>
      </c>
    </row>
    <row r="3936" spans="1:2" x14ac:dyDescent="0.3">
      <c r="A3936" t="s">
        <v>1058</v>
      </c>
      <c r="B3936" t="s">
        <v>1059</v>
      </c>
    </row>
    <row r="3937" spans="1:2" x14ac:dyDescent="0.3">
      <c r="A3937" t="s">
        <v>3761</v>
      </c>
      <c r="B3937" t="s">
        <v>3762</v>
      </c>
    </row>
    <row r="3938" spans="1:2" x14ac:dyDescent="0.3">
      <c r="A3938" t="s">
        <v>2287</v>
      </c>
      <c r="B3938" t="s">
        <v>108</v>
      </c>
    </row>
    <row r="3939" spans="1:2" x14ac:dyDescent="0.3">
      <c r="A3939" t="s">
        <v>1118</v>
      </c>
      <c r="B3939" t="s">
        <v>188</v>
      </c>
    </row>
    <row r="3940" spans="1:2" x14ac:dyDescent="0.3">
      <c r="A3940" t="s">
        <v>1119</v>
      </c>
      <c r="B3940" t="s">
        <v>188</v>
      </c>
    </row>
    <row r="3941" spans="1:2" x14ac:dyDescent="0.3">
      <c r="A3941" t="s">
        <v>1120</v>
      </c>
      <c r="B3941" t="s">
        <v>188</v>
      </c>
    </row>
    <row r="3942" spans="1:2" x14ac:dyDescent="0.3">
      <c r="A3942" t="s">
        <v>591</v>
      </c>
      <c r="B3942" t="s">
        <v>188</v>
      </c>
    </row>
    <row r="3943" spans="1:2" x14ac:dyDescent="0.3">
      <c r="A3943" t="s">
        <v>603</v>
      </c>
      <c r="B3943" t="s">
        <v>188</v>
      </c>
    </row>
    <row r="3944" spans="1:2" x14ac:dyDescent="0.3">
      <c r="A3944" t="s">
        <v>602</v>
      </c>
      <c r="B3944" t="s">
        <v>188</v>
      </c>
    </row>
    <row r="3945" spans="1:2" x14ac:dyDescent="0.3">
      <c r="A3945" t="s">
        <v>1121</v>
      </c>
      <c r="B3945" t="s">
        <v>188</v>
      </c>
    </row>
    <row r="3946" spans="1:2" x14ac:dyDescent="0.3">
      <c r="A3946" t="s">
        <v>570</v>
      </c>
      <c r="B3946" t="s">
        <v>188</v>
      </c>
    </row>
    <row r="3947" spans="1:2" x14ac:dyDescent="0.3">
      <c r="A3947" t="s">
        <v>588</v>
      </c>
      <c r="B3947" t="s">
        <v>188</v>
      </c>
    </row>
    <row r="3948" spans="1:2" x14ac:dyDescent="0.3">
      <c r="A3948" t="s">
        <v>1122</v>
      </c>
      <c r="B3948" t="s">
        <v>188</v>
      </c>
    </row>
    <row r="3949" spans="1:2" x14ac:dyDescent="0.3">
      <c r="A3949" t="s">
        <v>598</v>
      </c>
      <c r="B3949" t="s">
        <v>188</v>
      </c>
    </row>
    <row r="3950" spans="1:2" x14ac:dyDescent="0.3">
      <c r="A3950" t="s">
        <v>587</v>
      </c>
      <c r="B3950" t="s">
        <v>188</v>
      </c>
    </row>
    <row r="3951" spans="1:2" x14ac:dyDescent="0.3">
      <c r="A3951" t="s">
        <v>4424</v>
      </c>
      <c r="B3951" t="s">
        <v>188</v>
      </c>
    </row>
    <row r="3952" spans="1:2" x14ac:dyDescent="0.3">
      <c r="A3952" t="s">
        <v>597</v>
      </c>
      <c r="B3952" t="s">
        <v>188</v>
      </c>
    </row>
    <row r="3953" spans="1:2" x14ac:dyDescent="0.3">
      <c r="A3953" t="s">
        <v>4446</v>
      </c>
      <c r="B3953" t="s">
        <v>4447</v>
      </c>
    </row>
    <row r="3954" spans="1:2" x14ac:dyDescent="0.3">
      <c r="A3954" t="s">
        <v>3915</v>
      </c>
      <c r="B3954" t="s">
        <v>3916</v>
      </c>
    </row>
    <row r="3955" spans="1:2" x14ac:dyDescent="0.3">
      <c r="A3955" t="s">
        <v>1385</v>
      </c>
      <c r="B3955" t="s">
        <v>1386</v>
      </c>
    </row>
    <row r="3956" spans="1:2" x14ac:dyDescent="0.3">
      <c r="A3956" t="s">
        <v>2297</v>
      </c>
      <c r="B3956" t="s">
        <v>175</v>
      </c>
    </row>
    <row r="3957" spans="1:2" x14ac:dyDescent="0.3">
      <c r="A3957" t="s">
        <v>2881</v>
      </c>
      <c r="B3957" t="s">
        <v>475</v>
      </c>
    </row>
    <row r="3958" spans="1:2" x14ac:dyDescent="0.3">
      <c r="A3958" t="s">
        <v>4296</v>
      </c>
      <c r="B3958" t="s">
        <v>475</v>
      </c>
    </row>
    <row r="3959" spans="1:2" x14ac:dyDescent="0.3">
      <c r="A3959" t="s">
        <v>2238</v>
      </c>
      <c r="B3959" t="s">
        <v>2239</v>
      </c>
    </row>
    <row r="3960" spans="1:2" x14ac:dyDescent="0.3">
      <c r="A3960" t="s">
        <v>2133</v>
      </c>
      <c r="B3960" t="s">
        <v>139</v>
      </c>
    </row>
    <row r="3961" spans="1:2" x14ac:dyDescent="0.3">
      <c r="A3961" t="s">
        <v>2788</v>
      </c>
      <c r="B3961" t="s">
        <v>139</v>
      </c>
    </row>
    <row r="3962" spans="1:2" x14ac:dyDescent="0.3">
      <c r="A3962" t="s">
        <v>2215</v>
      </c>
      <c r="B3962" t="s">
        <v>139</v>
      </c>
    </row>
    <row r="3963" spans="1:2" x14ac:dyDescent="0.3">
      <c r="A3963" t="s">
        <v>2170</v>
      </c>
      <c r="B3963" t="s">
        <v>139</v>
      </c>
    </row>
    <row r="3964" spans="1:2" x14ac:dyDescent="0.3">
      <c r="A3964" t="s">
        <v>4664</v>
      </c>
      <c r="B3964" t="s">
        <v>175</v>
      </c>
    </row>
    <row r="3965" spans="1:2" x14ac:dyDescent="0.3">
      <c r="A3965" t="s">
        <v>1630</v>
      </c>
      <c r="B3965" t="s">
        <v>175</v>
      </c>
    </row>
    <row r="3966" spans="1:2" x14ac:dyDescent="0.3">
      <c r="A3966" t="s">
        <v>3790</v>
      </c>
      <c r="B3966" t="s">
        <v>136</v>
      </c>
    </row>
    <row r="3967" spans="1:2" x14ac:dyDescent="0.3">
      <c r="A3967" t="s">
        <v>4637</v>
      </c>
      <c r="B3967" t="s">
        <v>136</v>
      </c>
    </row>
    <row r="3968" spans="1:2" x14ac:dyDescent="0.3">
      <c r="A3968" t="s">
        <v>3606</v>
      </c>
      <c r="B3968" t="s">
        <v>175</v>
      </c>
    </row>
    <row r="3969" spans="1:2" x14ac:dyDescent="0.3">
      <c r="A3969" t="s">
        <v>2589</v>
      </c>
      <c r="B3969" t="s">
        <v>2590</v>
      </c>
    </row>
    <row r="3970" spans="1:2" x14ac:dyDescent="0.3">
      <c r="A3970" t="s">
        <v>3721</v>
      </c>
      <c r="B3970" t="s">
        <v>477</v>
      </c>
    </row>
    <row r="3971" spans="1:2" x14ac:dyDescent="0.3">
      <c r="A3971" t="s">
        <v>522</v>
      </c>
      <c r="B3971" t="s">
        <v>188</v>
      </c>
    </row>
    <row r="3972" spans="1:2" x14ac:dyDescent="0.3">
      <c r="A3972" t="s">
        <v>3795</v>
      </c>
      <c r="B3972" t="s">
        <v>477</v>
      </c>
    </row>
    <row r="3973" spans="1:2" x14ac:dyDescent="0.3">
      <c r="A3973" t="s">
        <v>2254</v>
      </c>
      <c r="B3973" t="s">
        <v>2255</v>
      </c>
    </row>
    <row r="3974" spans="1:2" x14ac:dyDescent="0.3">
      <c r="A3974" t="s">
        <v>2102</v>
      </c>
      <c r="B3974" t="s">
        <v>917</v>
      </c>
    </row>
    <row r="3975" spans="1:2" x14ac:dyDescent="0.3">
      <c r="A3975" t="s">
        <v>4735</v>
      </c>
      <c r="B3975" t="s">
        <v>22</v>
      </c>
    </row>
    <row r="3976" spans="1:2" x14ac:dyDescent="0.3">
      <c r="A3976" t="s">
        <v>3858</v>
      </c>
      <c r="B3976" t="s">
        <v>477</v>
      </c>
    </row>
    <row r="3977" spans="1:2" x14ac:dyDescent="0.3">
      <c r="A3977" t="s">
        <v>746</v>
      </c>
      <c r="B3977" t="s">
        <v>136</v>
      </c>
    </row>
    <row r="3978" spans="1:2" x14ac:dyDescent="0.3">
      <c r="A3978" t="s">
        <v>747</v>
      </c>
      <c r="B3978" t="s">
        <v>136</v>
      </c>
    </row>
    <row r="3979" spans="1:2" x14ac:dyDescent="0.3">
      <c r="A3979" t="s">
        <v>749</v>
      </c>
      <c r="B3979" t="s">
        <v>136</v>
      </c>
    </row>
    <row r="3980" spans="1:2" x14ac:dyDescent="0.3">
      <c r="A3980" t="s">
        <v>748</v>
      </c>
      <c r="B3980" t="s">
        <v>136</v>
      </c>
    </row>
    <row r="3981" spans="1:2" x14ac:dyDescent="0.3">
      <c r="A3981" t="s">
        <v>745</v>
      </c>
      <c r="B3981" t="s">
        <v>136</v>
      </c>
    </row>
    <row r="3982" spans="1:2" x14ac:dyDescent="0.3">
      <c r="A3982" t="s">
        <v>2285</v>
      </c>
      <c r="B3982" t="s">
        <v>2286</v>
      </c>
    </row>
    <row r="3983" spans="1:2" x14ac:dyDescent="0.3">
      <c r="A3983" t="s">
        <v>3722</v>
      </c>
      <c r="B3983" t="s">
        <v>173</v>
      </c>
    </row>
    <row r="3984" spans="1:2" x14ac:dyDescent="0.3">
      <c r="A3984" t="s">
        <v>2185</v>
      </c>
      <c r="B3984" t="s">
        <v>2186</v>
      </c>
    </row>
    <row r="3985" spans="1:2" x14ac:dyDescent="0.3">
      <c r="A3985" t="s">
        <v>1455</v>
      </c>
      <c r="B3985" t="s">
        <v>1456</v>
      </c>
    </row>
    <row r="3986" spans="1:2" x14ac:dyDescent="0.3">
      <c r="A3986" t="s">
        <v>944</v>
      </c>
      <c r="B3986" t="s">
        <v>945</v>
      </c>
    </row>
    <row r="3987" spans="1:2" x14ac:dyDescent="0.3">
      <c r="A3987" t="s">
        <v>3542</v>
      </c>
      <c r="B3987" t="s">
        <v>264</v>
      </c>
    </row>
    <row r="3988" spans="1:2" x14ac:dyDescent="0.3">
      <c r="A3988" t="s">
        <v>2854</v>
      </c>
      <c r="B3988" t="s">
        <v>353</v>
      </c>
    </row>
    <row r="3989" spans="1:2" x14ac:dyDescent="0.3">
      <c r="A3989" t="s">
        <v>1896</v>
      </c>
      <c r="B3989" t="s">
        <v>824</v>
      </c>
    </row>
    <row r="3990" spans="1:2" x14ac:dyDescent="0.3">
      <c r="A3990" t="s">
        <v>4534</v>
      </c>
      <c r="B3990" t="s">
        <v>175</v>
      </c>
    </row>
    <row r="3991" spans="1:2" x14ac:dyDescent="0.3">
      <c r="A3991" t="s">
        <v>2679</v>
      </c>
      <c r="B3991" t="s">
        <v>151</v>
      </c>
    </row>
    <row r="3992" spans="1:2" x14ac:dyDescent="0.3">
      <c r="A3992" t="s">
        <v>2858</v>
      </c>
      <c r="B3992" t="s">
        <v>132</v>
      </c>
    </row>
    <row r="3993" spans="1:2" x14ac:dyDescent="0.3">
      <c r="A3993" t="s">
        <v>208</v>
      </c>
    </row>
    <row r="3994" spans="1:2" x14ac:dyDescent="0.3">
      <c r="A3994" t="s">
        <v>1890</v>
      </c>
      <c r="B3994" t="s">
        <v>175</v>
      </c>
    </row>
    <row r="3995" spans="1:2" x14ac:dyDescent="0.3">
      <c r="A3995" t="s">
        <v>2475</v>
      </c>
      <c r="B3995" t="s">
        <v>18</v>
      </c>
    </row>
    <row r="3996" spans="1:2" x14ac:dyDescent="0.3">
      <c r="A3996" t="s">
        <v>2010</v>
      </c>
      <c r="B3996" t="s">
        <v>2011</v>
      </c>
    </row>
    <row r="3997" spans="1:2" x14ac:dyDescent="0.3">
      <c r="A3997" t="s">
        <v>4476</v>
      </c>
      <c r="B3997" t="s">
        <v>175</v>
      </c>
    </row>
    <row r="3998" spans="1:2" x14ac:dyDescent="0.3">
      <c r="A3998" t="s">
        <v>3375</v>
      </c>
      <c r="B3998" t="s">
        <v>175</v>
      </c>
    </row>
    <row r="3999" spans="1:2" x14ac:dyDescent="0.3">
      <c r="A3999" t="s">
        <v>4702</v>
      </c>
      <c r="B3999" t="s">
        <v>353</v>
      </c>
    </row>
    <row r="4000" spans="1:2" x14ac:dyDescent="0.3">
      <c r="A4000" t="s">
        <v>358</v>
      </c>
      <c r="B4000" t="s">
        <v>119</v>
      </c>
    </row>
    <row r="4001" spans="1:2" x14ac:dyDescent="0.3">
      <c r="A4001" t="s">
        <v>4289</v>
      </c>
      <c r="B4001" t="s">
        <v>119</v>
      </c>
    </row>
    <row r="4002" spans="1:2" x14ac:dyDescent="0.3">
      <c r="A4002" t="s">
        <v>357</v>
      </c>
      <c r="B4002" t="s">
        <v>119</v>
      </c>
    </row>
    <row r="4003" spans="1:2" x14ac:dyDescent="0.3">
      <c r="A4003" t="s">
        <v>505</v>
      </c>
      <c r="B4003" t="s">
        <v>506</v>
      </c>
    </row>
    <row r="4004" spans="1:2" x14ac:dyDescent="0.3">
      <c r="A4004" t="s">
        <v>359</v>
      </c>
      <c r="B4004" t="s">
        <v>119</v>
      </c>
    </row>
    <row r="4005" spans="1:2" x14ac:dyDescent="0.3">
      <c r="A4005" t="s">
        <v>360</v>
      </c>
      <c r="B4005" t="s">
        <v>119</v>
      </c>
    </row>
    <row r="4006" spans="1:2" x14ac:dyDescent="0.3">
      <c r="A4006" t="s">
        <v>4080</v>
      </c>
      <c r="B4006" t="s">
        <v>119</v>
      </c>
    </row>
    <row r="4007" spans="1:2" x14ac:dyDescent="0.3">
      <c r="A4007" t="s">
        <v>4619</v>
      </c>
      <c r="B4007" t="s">
        <v>119</v>
      </c>
    </row>
    <row r="4008" spans="1:2" x14ac:dyDescent="0.3">
      <c r="A4008" t="s">
        <v>1789</v>
      </c>
      <c r="B4008" t="s">
        <v>446</v>
      </c>
    </row>
    <row r="4009" spans="1:2" x14ac:dyDescent="0.3">
      <c r="A4009" t="s">
        <v>534</v>
      </c>
      <c r="B4009" t="s">
        <v>13</v>
      </c>
    </row>
    <row r="4010" spans="1:2" x14ac:dyDescent="0.3">
      <c r="A4010" t="s">
        <v>349</v>
      </c>
      <c r="B4010" t="s">
        <v>22</v>
      </c>
    </row>
    <row r="4011" spans="1:2" x14ac:dyDescent="0.3">
      <c r="A4011" t="s">
        <v>127</v>
      </c>
      <c r="B4011" t="s">
        <v>128</v>
      </c>
    </row>
    <row r="4012" spans="1:2" x14ac:dyDescent="0.3">
      <c r="A4012" t="s">
        <v>2113</v>
      </c>
      <c r="B4012" t="s">
        <v>2114</v>
      </c>
    </row>
    <row r="4013" spans="1:2" x14ac:dyDescent="0.3">
      <c r="A4013" t="s">
        <v>270</v>
      </c>
      <c r="B4013" t="s">
        <v>271</v>
      </c>
    </row>
    <row r="4014" spans="1:2" x14ac:dyDescent="0.3">
      <c r="A4014" t="s">
        <v>2985</v>
      </c>
      <c r="B4014" t="s">
        <v>119</v>
      </c>
    </row>
    <row r="4015" spans="1:2" x14ac:dyDescent="0.3">
      <c r="A4015" t="s">
        <v>3515</v>
      </c>
      <c r="B4015" t="s">
        <v>119</v>
      </c>
    </row>
    <row r="4016" spans="1:2" x14ac:dyDescent="0.3">
      <c r="A4016" t="s">
        <v>3517</v>
      </c>
      <c r="B4016" t="s">
        <v>119</v>
      </c>
    </row>
    <row r="4017" spans="1:2" x14ac:dyDescent="0.3">
      <c r="A4017" t="s">
        <v>4754</v>
      </c>
      <c r="B4017" t="s">
        <v>4755</v>
      </c>
    </row>
    <row r="4018" spans="1:2" x14ac:dyDescent="0.3">
      <c r="A4018" t="s">
        <v>907</v>
      </c>
      <c r="B4018" t="s">
        <v>119</v>
      </c>
    </row>
    <row r="4019" spans="1:2" x14ac:dyDescent="0.3">
      <c r="A4019" t="s">
        <v>3332</v>
      </c>
      <c r="B4019" t="s">
        <v>3333</v>
      </c>
    </row>
    <row r="4020" spans="1:2" x14ac:dyDescent="0.3">
      <c r="A4020" t="s">
        <v>3331</v>
      </c>
      <c r="B4020" t="s">
        <v>3031</v>
      </c>
    </row>
    <row r="4021" spans="1:2" x14ac:dyDescent="0.3">
      <c r="A4021" t="s">
        <v>3518</v>
      </c>
      <c r="B4021" t="s">
        <v>119</v>
      </c>
    </row>
    <row r="4022" spans="1:2" x14ac:dyDescent="0.3">
      <c r="A4022" t="s">
        <v>3526</v>
      </c>
      <c r="B4022" t="s">
        <v>2112</v>
      </c>
    </row>
    <row r="4023" spans="1:2" x14ac:dyDescent="0.3">
      <c r="A4023" t="s">
        <v>3527</v>
      </c>
      <c r="B4023" t="s">
        <v>1234</v>
      </c>
    </row>
    <row r="4024" spans="1:2" x14ac:dyDescent="0.3">
      <c r="A4024" t="s">
        <v>3247</v>
      </c>
      <c r="B4024" t="s">
        <v>136</v>
      </c>
    </row>
    <row r="4025" spans="1:2" x14ac:dyDescent="0.3">
      <c r="A4025" t="s">
        <v>3250</v>
      </c>
      <c r="B4025" t="s">
        <v>136</v>
      </c>
    </row>
    <row r="4026" spans="1:2" x14ac:dyDescent="0.3">
      <c r="A4026" t="s">
        <v>1075</v>
      </c>
      <c r="B4026" t="s">
        <v>1076</v>
      </c>
    </row>
    <row r="4027" spans="1:2" x14ac:dyDescent="0.3">
      <c r="A4027" t="s">
        <v>1635</v>
      </c>
      <c r="B4027" t="s">
        <v>1636</v>
      </c>
    </row>
    <row r="4028" spans="1:2" x14ac:dyDescent="0.3">
      <c r="A4028" t="s">
        <v>2234</v>
      </c>
      <c r="B4028" t="s">
        <v>2235</v>
      </c>
    </row>
    <row r="4029" spans="1:2" x14ac:dyDescent="0.3">
      <c r="A4029" t="s">
        <v>4626</v>
      </c>
      <c r="B4029" t="s">
        <v>4627</v>
      </c>
    </row>
    <row r="4030" spans="1:2" x14ac:dyDescent="0.3">
      <c r="A4030" t="s">
        <v>3562</v>
      </c>
      <c r="B4030" t="s">
        <v>406</v>
      </c>
    </row>
    <row r="4031" spans="1:2" x14ac:dyDescent="0.3">
      <c r="A4031" t="s">
        <v>2804</v>
      </c>
      <c r="B4031" t="s">
        <v>494</v>
      </c>
    </row>
    <row r="4032" spans="1:2" x14ac:dyDescent="0.3">
      <c r="A4032" t="s">
        <v>2143</v>
      </c>
      <c r="B4032" t="s">
        <v>2144</v>
      </c>
    </row>
    <row r="4033" spans="1:2" x14ac:dyDescent="0.3">
      <c r="A4033" t="s">
        <v>2805</v>
      </c>
      <c r="B4033" t="s">
        <v>494</v>
      </c>
    </row>
    <row r="4034" spans="1:2" x14ac:dyDescent="0.3">
      <c r="A4034" t="s">
        <v>2139</v>
      </c>
      <c r="B4034" t="s">
        <v>2140</v>
      </c>
    </row>
    <row r="4035" spans="1:2" x14ac:dyDescent="0.3">
      <c r="A4035" t="s">
        <v>2506</v>
      </c>
      <c r="B4035" t="s">
        <v>494</v>
      </c>
    </row>
    <row r="4036" spans="1:2" x14ac:dyDescent="0.3">
      <c r="A4036" t="s">
        <v>2791</v>
      </c>
      <c r="B4036" t="s">
        <v>494</v>
      </c>
    </row>
    <row r="4037" spans="1:2" x14ac:dyDescent="0.3">
      <c r="A4037" t="s">
        <v>4430</v>
      </c>
      <c r="B4037" t="s">
        <v>494</v>
      </c>
    </row>
    <row r="4038" spans="1:2" x14ac:dyDescent="0.3">
      <c r="A4038" t="s">
        <v>2803</v>
      </c>
      <c r="B4038" t="s">
        <v>494</v>
      </c>
    </row>
    <row r="4039" spans="1:2" x14ac:dyDescent="0.3">
      <c r="A4039" t="s">
        <v>2795</v>
      </c>
      <c r="B4039" t="s">
        <v>494</v>
      </c>
    </row>
    <row r="4040" spans="1:2" x14ac:dyDescent="0.3">
      <c r="A4040" t="s">
        <v>2792</v>
      </c>
      <c r="B4040" t="s">
        <v>494</v>
      </c>
    </row>
    <row r="4041" spans="1:2" x14ac:dyDescent="0.3">
      <c r="A4041" t="s">
        <v>1421</v>
      </c>
      <c r="B4041" t="s">
        <v>119</v>
      </c>
    </row>
    <row r="4042" spans="1:2" x14ac:dyDescent="0.3">
      <c r="A4042" t="s">
        <v>1420</v>
      </c>
      <c r="B4042" t="s">
        <v>119</v>
      </c>
    </row>
    <row r="4043" spans="1:2" x14ac:dyDescent="0.3">
      <c r="A4043" t="s">
        <v>2339</v>
      </c>
      <c r="B4043" t="s">
        <v>2340</v>
      </c>
    </row>
    <row r="4044" spans="1:2" x14ac:dyDescent="0.3">
      <c r="A4044" t="s">
        <v>2595</v>
      </c>
      <c r="B4044" t="s">
        <v>2596</v>
      </c>
    </row>
    <row r="4045" spans="1:2" x14ac:dyDescent="0.3">
      <c r="A4045" t="s">
        <v>3984</v>
      </c>
      <c r="B4045" t="s">
        <v>3371</v>
      </c>
    </row>
    <row r="4046" spans="1:2" x14ac:dyDescent="0.3">
      <c r="A4046" t="s">
        <v>480</v>
      </c>
      <c r="B4046" t="s">
        <v>481</v>
      </c>
    </row>
    <row r="4047" spans="1:2" x14ac:dyDescent="0.3">
      <c r="A4047" t="s">
        <v>1727</v>
      </c>
      <c r="B4047" t="s">
        <v>246</v>
      </c>
    </row>
    <row r="4048" spans="1:2" x14ac:dyDescent="0.3">
      <c r="A4048" t="s">
        <v>4580</v>
      </c>
      <c r="B4048" t="s">
        <v>353</v>
      </c>
    </row>
    <row r="4049" spans="1:2" x14ac:dyDescent="0.3">
      <c r="A4049" t="s">
        <v>1841</v>
      </c>
      <c r="B4049" t="s">
        <v>363</v>
      </c>
    </row>
    <row r="4050" spans="1:2" x14ac:dyDescent="0.3">
      <c r="A4050" t="s">
        <v>1060</v>
      </c>
      <c r="B4050" t="s">
        <v>1061</v>
      </c>
    </row>
    <row r="4051" spans="1:2" x14ac:dyDescent="0.3">
      <c r="A4051" t="s">
        <v>1062</v>
      </c>
      <c r="B4051" t="s">
        <v>1061</v>
      </c>
    </row>
    <row r="4052" spans="1:2" x14ac:dyDescent="0.3">
      <c r="A4052" t="s">
        <v>1063</v>
      </c>
      <c r="B4052" t="s">
        <v>1061</v>
      </c>
    </row>
    <row r="4053" spans="1:2" x14ac:dyDescent="0.3">
      <c r="A4053" t="s">
        <v>1064</v>
      </c>
      <c r="B4053" t="s">
        <v>1061</v>
      </c>
    </row>
    <row r="4054" spans="1:2" x14ac:dyDescent="0.3">
      <c r="A4054" t="s">
        <v>1068</v>
      </c>
      <c r="B4054" t="s">
        <v>1061</v>
      </c>
    </row>
    <row r="4055" spans="1:2" x14ac:dyDescent="0.3">
      <c r="A4055" t="s">
        <v>1069</v>
      </c>
      <c r="B4055" t="s">
        <v>1061</v>
      </c>
    </row>
    <row r="4056" spans="1:2" x14ac:dyDescent="0.3">
      <c r="A4056" t="s">
        <v>1070</v>
      </c>
      <c r="B4056" t="s">
        <v>1061</v>
      </c>
    </row>
    <row r="4057" spans="1:2" x14ac:dyDescent="0.3">
      <c r="A4057" t="s">
        <v>1065</v>
      </c>
      <c r="B4057" t="s">
        <v>1061</v>
      </c>
    </row>
    <row r="4058" spans="1:2" x14ac:dyDescent="0.3">
      <c r="A4058" t="s">
        <v>1066</v>
      </c>
      <c r="B4058" t="s">
        <v>1061</v>
      </c>
    </row>
    <row r="4059" spans="1:2" x14ac:dyDescent="0.3">
      <c r="A4059" t="s">
        <v>1067</v>
      </c>
      <c r="B4059" t="s">
        <v>1061</v>
      </c>
    </row>
    <row r="4060" spans="1:2" x14ac:dyDescent="0.3">
      <c r="A4060" t="s">
        <v>3211</v>
      </c>
      <c r="B4060" t="s">
        <v>3212</v>
      </c>
    </row>
    <row r="4061" spans="1:2" x14ac:dyDescent="0.3">
      <c r="A4061" t="s">
        <v>4122</v>
      </c>
      <c r="B4061" t="s">
        <v>11</v>
      </c>
    </row>
    <row r="4062" spans="1:2" x14ac:dyDescent="0.3">
      <c r="A4062" t="s">
        <v>2460</v>
      </c>
      <c r="B4062" t="s">
        <v>1858</v>
      </c>
    </row>
    <row r="4063" spans="1:2" x14ac:dyDescent="0.3">
      <c r="A4063" t="s">
        <v>1181</v>
      </c>
      <c r="B4063" t="s">
        <v>1182</v>
      </c>
    </row>
    <row r="4064" spans="1:2" x14ac:dyDescent="0.3">
      <c r="A4064" t="s">
        <v>761</v>
      </c>
      <c r="B4064" t="s">
        <v>336</v>
      </c>
    </row>
    <row r="4065" spans="1:2" x14ac:dyDescent="0.3">
      <c r="A4065" t="s">
        <v>2341</v>
      </c>
      <c r="B4065" t="s">
        <v>336</v>
      </c>
    </row>
    <row r="4066" spans="1:2" x14ac:dyDescent="0.3">
      <c r="A4066" t="s">
        <v>1203</v>
      </c>
      <c r="B4066" t="s">
        <v>1204</v>
      </c>
    </row>
    <row r="4067" spans="1:2" x14ac:dyDescent="0.3">
      <c r="A4067" t="s">
        <v>1714</v>
      </c>
      <c r="B4067" t="s">
        <v>1715</v>
      </c>
    </row>
    <row r="4068" spans="1:2" x14ac:dyDescent="0.3">
      <c r="A4068" t="s">
        <v>2466</v>
      </c>
      <c r="B4068" t="s">
        <v>132</v>
      </c>
    </row>
    <row r="4069" spans="1:2" x14ac:dyDescent="0.3">
      <c r="A4069" t="s">
        <v>1175</v>
      </c>
      <c r="B4069" t="s">
        <v>132</v>
      </c>
    </row>
    <row r="4070" spans="1:2" x14ac:dyDescent="0.3">
      <c r="A4070" t="s">
        <v>1180</v>
      </c>
      <c r="B4070" t="s">
        <v>136</v>
      </c>
    </row>
    <row r="4071" spans="1:2" x14ac:dyDescent="0.3">
      <c r="A4071" t="s">
        <v>2451</v>
      </c>
      <c r="B4071" t="s">
        <v>108</v>
      </c>
    </row>
    <row r="4072" spans="1:2" x14ac:dyDescent="0.3">
      <c r="A4072" t="s">
        <v>2452</v>
      </c>
      <c r="B4072" t="s">
        <v>108</v>
      </c>
    </row>
    <row r="4073" spans="1:2" x14ac:dyDescent="0.3">
      <c r="A4073" t="s">
        <v>2453</v>
      </c>
      <c r="B4073" t="s">
        <v>108</v>
      </c>
    </row>
    <row r="4074" spans="1:2" x14ac:dyDescent="0.3">
      <c r="A4074" t="s">
        <v>2454</v>
      </c>
      <c r="B4074" t="s">
        <v>2455</v>
      </c>
    </row>
    <row r="4075" spans="1:2" x14ac:dyDescent="0.3">
      <c r="A4075" t="s">
        <v>1179</v>
      </c>
      <c r="B4075" t="s">
        <v>132</v>
      </c>
    </row>
    <row r="4076" spans="1:2" x14ac:dyDescent="0.3">
      <c r="A4076" t="s">
        <v>1183</v>
      </c>
      <c r="B4076" t="s">
        <v>132</v>
      </c>
    </row>
    <row r="4077" spans="1:2" x14ac:dyDescent="0.3">
      <c r="A4077" t="s">
        <v>1176</v>
      </c>
      <c r="B4077" t="s">
        <v>336</v>
      </c>
    </row>
    <row r="4078" spans="1:2" x14ac:dyDescent="0.3">
      <c r="A4078" t="s">
        <v>2342</v>
      </c>
      <c r="B4078" t="s">
        <v>336</v>
      </c>
    </row>
    <row r="4079" spans="1:2" x14ac:dyDescent="0.3">
      <c r="A4079" t="s">
        <v>2456</v>
      </c>
      <c r="B4079" t="s">
        <v>363</v>
      </c>
    </row>
    <row r="4080" spans="1:2" x14ac:dyDescent="0.3">
      <c r="A4080" t="s">
        <v>1928</v>
      </c>
      <c r="B4080" t="s">
        <v>1929</v>
      </c>
    </row>
    <row r="4081" spans="1:2" x14ac:dyDescent="0.3">
      <c r="A4081" t="s">
        <v>2343</v>
      </c>
      <c r="B4081" t="s">
        <v>363</v>
      </c>
    </row>
    <row r="4082" spans="1:2" x14ac:dyDescent="0.3">
      <c r="A4082" t="s">
        <v>1949</v>
      </c>
      <c r="B4082" t="s">
        <v>363</v>
      </c>
    </row>
    <row r="4083" spans="1:2" x14ac:dyDescent="0.3">
      <c r="A4083" t="s">
        <v>2457</v>
      </c>
      <c r="B4083" t="s">
        <v>363</v>
      </c>
    </row>
    <row r="4084" spans="1:2" x14ac:dyDescent="0.3">
      <c r="A4084" t="s">
        <v>1662</v>
      </c>
      <c r="B4084" t="s">
        <v>1663</v>
      </c>
    </row>
    <row r="4085" spans="1:2" x14ac:dyDescent="0.3">
      <c r="A4085" t="s">
        <v>1326</v>
      </c>
      <c r="B4085" t="s">
        <v>1327</v>
      </c>
    </row>
    <row r="4086" spans="1:2" x14ac:dyDescent="0.3">
      <c r="A4086" t="s">
        <v>3085</v>
      </c>
      <c r="B4086" t="s">
        <v>353</v>
      </c>
    </row>
    <row r="4087" spans="1:2" x14ac:dyDescent="0.3">
      <c r="A4087" t="s">
        <v>4533</v>
      </c>
      <c r="B4087" t="s">
        <v>13</v>
      </c>
    </row>
    <row r="4088" spans="1:2" x14ac:dyDescent="0.3">
      <c r="A4088" t="s">
        <v>4526</v>
      </c>
      <c r="B4088" t="s">
        <v>11</v>
      </c>
    </row>
    <row r="4089" spans="1:2" x14ac:dyDescent="0.3">
      <c r="A4089" t="s">
        <v>4020</v>
      </c>
      <c r="B4089" t="s">
        <v>119</v>
      </c>
    </row>
    <row r="4090" spans="1:2" x14ac:dyDescent="0.3">
      <c r="A4090" t="s">
        <v>2980</v>
      </c>
      <c r="B4090" t="s">
        <v>119</v>
      </c>
    </row>
    <row r="4091" spans="1:2" x14ac:dyDescent="0.3">
      <c r="A4091" t="s">
        <v>4024</v>
      </c>
      <c r="B4091" t="s">
        <v>119</v>
      </c>
    </row>
    <row r="4092" spans="1:2" x14ac:dyDescent="0.3">
      <c r="A4092" t="s">
        <v>341</v>
      </c>
      <c r="B4092" t="s">
        <v>314</v>
      </c>
    </row>
    <row r="4093" spans="1:2" x14ac:dyDescent="0.3">
      <c r="A4093" t="s">
        <v>397</v>
      </c>
      <c r="B4093" t="s">
        <v>345</v>
      </c>
    </row>
    <row r="4094" spans="1:2" x14ac:dyDescent="0.3">
      <c r="A4094" t="s">
        <v>398</v>
      </c>
      <c r="B4094" t="s">
        <v>345</v>
      </c>
    </row>
    <row r="4095" spans="1:2" x14ac:dyDescent="0.3">
      <c r="A4095" t="s">
        <v>342</v>
      </c>
      <c r="B4095" t="s">
        <v>343</v>
      </c>
    </row>
    <row r="4096" spans="1:2" x14ac:dyDescent="0.3">
      <c r="A4096" t="s">
        <v>823</v>
      </c>
      <c r="B4096" t="s">
        <v>824</v>
      </c>
    </row>
    <row r="4097" spans="1:2" x14ac:dyDescent="0.3">
      <c r="A4097" t="s">
        <v>3558</v>
      </c>
      <c r="B4097" t="s">
        <v>3559</v>
      </c>
    </row>
    <row r="4098" spans="1:2" x14ac:dyDescent="0.3">
      <c r="A4098" t="s">
        <v>346</v>
      </c>
      <c r="B4098" t="s">
        <v>345</v>
      </c>
    </row>
    <row r="4099" spans="1:2" x14ac:dyDescent="0.3">
      <c r="A4099" t="s">
        <v>399</v>
      </c>
      <c r="B4099" t="s">
        <v>345</v>
      </c>
    </row>
    <row r="4100" spans="1:2" x14ac:dyDescent="0.3">
      <c r="A4100" t="s">
        <v>344</v>
      </c>
      <c r="B4100" t="s">
        <v>345</v>
      </c>
    </row>
    <row r="4101" spans="1:2" x14ac:dyDescent="0.3">
      <c r="A4101" t="s">
        <v>347</v>
      </c>
      <c r="B4101" t="s">
        <v>348</v>
      </c>
    </row>
    <row r="4102" spans="1:2" x14ac:dyDescent="0.3">
      <c r="A4102" t="s">
        <v>1306</v>
      </c>
      <c r="B4102" t="s">
        <v>343</v>
      </c>
    </row>
    <row r="4103" spans="1:2" x14ac:dyDescent="0.3">
      <c r="A4103" t="s">
        <v>429</v>
      </c>
    </row>
    <row r="4104" spans="1:2" x14ac:dyDescent="0.3">
      <c r="A4104" t="s">
        <v>431</v>
      </c>
    </row>
    <row r="4105" spans="1:2" x14ac:dyDescent="0.3">
      <c r="A4105" t="s">
        <v>443</v>
      </c>
    </row>
    <row r="4106" spans="1:2" x14ac:dyDescent="0.3">
      <c r="A4106" t="s">
        <v>428</v>
      </c>
    </row>
    <row r="4107" spans="1:2" x14ac:dyDescent="0.3">
      <c r="A4107" t="s">
        <v>430</v>
      </c>
    </row>
    <row r="4108" spans="1:2" x14ac:dyDescent="0.3">
      <c r="A4108" t="s">
        <v>3258</v>
      </c>
      <c r="B4108" t="s">
        <v>3259</v>
      </c>
    </row>
    <row r="4109" spans="1:2" x14ac:dyDescent="0.3">
      <c r="A4109" t="s">
        <v>426</v>
      </c>
      <c r="B4109" t="s">
        <v>427</v>
      </c>
    </row>
    <row r="4110" spans="1:2" x14ac:dyDescent="0.3">
      <c r="A4110" t="s">
        <v>2169</v>
      </c>
    </row>
    <row r="4111" spans="1:2" x14ac:dyDescent="0.3">
      <c r="A4111" t="s">
        <v>2084</v>
      </c>
    </row>
    <row r="4112" spans="1:2" x14ac:dyDescent="0.3">
      <c r="A4112" t="s">
        <v>2085</v>
      </c>
    </row>
    <row r="4113" spans="1:2" x14ac:dyDescent="0.3">
      <c r="A4113" t="s">
        <v>313</v>
      </c>
      <c r="B4113" t="s">
        <v>314</v>
      </c>
    </row>
    <row r="4114" spans="1:2" x14ac:dyDescent="0.3">
      <c r="A4114" t="s">
        <v>315</v>
      </c>
      <c r="B4114" t="s">
        <v>316</v>
      </c>
    </row>
    <row r="4115" spans="1:2" x14ac:dyDescent="0.3">
      <c r="A4115" t="s">
        <v>4519</v>
      </c>
      <c r="B4115" t="s">
        <v>1491</v>
      </c>
    </row>
    <row r="4116" spans="1:2" x14ac:dyDescent="0.3">
      <c r="A4116" t="s">
        <v>4385</v>
      </c>
      <c r="B4116" t="s">
        <v>1491</v>
      </c>
    </row>
    <row r="4117" spans="1:2" x14ac:dyDescent="0.3">
      <c r="A4117" t="s">
        <v>4386</v>
      </c>
      <c r="B4117" t="s">
        <v>1491</v>
      </c>
    </row>
    <row r="4118" spans="1:2" x14ac:dyDescent="0.3">
      <c r="A4118" t="s">
        <v>4387</v>
      </c>
      <c r="B4118" t="s">
        <v>1491</v>
      </c>
    </row>
    <row r="4119" spans="1:2" x14ac:dyDescent="0.3">
      <c r="A4119" t="s">
        <v>4388</v>
      </c>
      <c r="B4119" t="s">
        <v>1491</v>
      </c>
    </row>
    <row r="4120" spans="1:2" x14ac:dyDescent="0.3">
      <c r="A4120" t="s">
        <v>4389</v>
      </c>
      <c r="B4120" t="s">
        <v>1491</v>
      </c>
    </row>
    <row r="4121" spans="1:2" x14ac:dyDescent="0.3">
      <c r="A4121" t="s">
        <v>4390</v>
      </c>
      <c r="B4121" t="s">
        <v>1491</v>
      </c>
    </row>
    <row r="4122" spans="1:2" x14ac:dyDescent="0.3">
      <c r="A4122" t="s">
        <v>1638</v>
      </c>
      <c r="B4122" t="s">
        <v>1639</v>
      </c>
    </row>
    <row r="4123" spans="1:2" x14ac:dyDescent="0.3">
      <c r="A4123" t="s">
        <v>1640</v>
      </c>
      <c r="B4123" t="s">
        <v>1641</v>
      </c>
    </row>
    <row r="4124" spans="1:2" x14ac:dyDescent="0.3">
      <c r="A4124" t="s">
        <v>1642</v>
      </c>
      <c r="B4124" t="s">
        <v>1643</v>
      </c>
    </row>
    <row r="4125" spans="1:2" x14ac:dyDescent="0.3">
      <c r="A4125" t="s">
        <v>1644</v>
      </c>
      <c r="B4125" t="s">
        <v>1643</v>
      </c>
    </row>
    <row r="4126" spans="1:2" x14ac:dyDescent="0.3">
      <c r="A4126" t="s">
        <v>1645</v>
      </c>
      <c r="B4126" t="s">
        <v>1646</v>
      </c>
    </row>
    <row r="4127" spans="1:2" x14ac:dyDescent="0.3">
      <c r="A4127" t="s">
        <v>3077</v>
      </c>
      <c r="B4127" t="s">
        <v>18</v>
      </c>
    </row>
    <row r="4128" spans="1:2" x14ac:dyDescent="0.3">
      <c r="A4128" t="s">
        <v>4327</v>
      </c>
      <c r="B4128" t="s">
        <v>4328</v>
      </c>
    </row>
    <row r="4129" spans="1:2" x14ac:dyDescent="0.3">
      <c r="A4129" t="s">
        <v>4329</v>
      </c>
      <c r="B4129" t="s">
        <v>4330</v>
      </c>
    </row>
    <row r="4130" spans="1:2" x14ac:dyDescent="0.3">
      <c r="A4130" t="s">
        <v>1393</v>
      </c>
      <c r="B4130" t="s">
        <v>188</v>
      </c>
    </row>
    <row r="4131" spans="1:2" x14ac:dyDescent="0.3">
      <c r="A4131" t="s">
        <v>1821</v>
      </c>
    </row>
    <row r="4132" spans="1:2" x14ac:dyDescent="0.3">
      <c r="A4132" t="s">
        <v>2199</v>
      </c>
      <c r="B4132" t="s">
        <v>188</v>
      </c>
    </row>
    <row r="4133" spans="1:2" x14ac:dyDescent="0.3">
      <c r="A4133" t="s">
        <v>1956</v>
      </c>
      <c r="B4133" t="s">
        <v>188</v>
      </c>
    </row>
    <row r="4134" spans="1:2" x14ac:dyDescent="0.3">
      <c r="A4134" t="s">
        <v>1955</v>
      </c>
      <c r="B4134" t="s">
        <v>188</v>
      </c>
    </row>
    <row r="4135" spans="1:2" x14ac:dyDescent="0.3">
      <c r="A4135" t="s">
        <v>4103</v>
      </c>
      <c r="B4135" t="s">
        <v>151</v>
      </c>
    </row>
    <row r="4136" spans="1:2" x14ac:dyDescent="0.3">
      <c r="A4136" t="s">
        <v>2695</v>
      </c>
      <c r="B4136" t="s">
        <v>188</v>
      </c>
    </row>
    <row r="4137" spans="1:2" x14ac:dyDescent="0.3">
      <c r="A4137" t="s">
        <v>908</v>
      </c>
      <c r="B4137" t="s">
        <v>173</v>
      </c>
    </row>
    <row r="4138" spans="1:2" x14ac:dyDescent="0.3">
      <c r="A4138" t="s">
        <v>3607</v>
      </c>
      <c r="B4138" t="s">
        <v>132</v>
      </c>
    </row>
    <row r="4139" spans="1:2" x14ac:dyDescent="0.3">
      <c r="A4139" t="s">
        <v>4448</v>
      </c>
      <c r="B4139" t="s">
        <v>173</v>
      </c>
    </row>
    <row r="4140" spans="1:2" x14ac:dyDescent="0.3">
      <c r="A4140" t="s">
        <v>3842</v>
      </c>
      <c r="B4140" t="s">
        <v>173</v>
      </c>
    </row>
    <row r="4141" spans="1:2" x14ac:dyDescent="0.3">
      <c r="A4141" t="s">
        <v>674</v>
      </c>
      <c r="B4141" t="s">
        <v>188</v>
      </c>
    </row>
    <row r="4142" spans="1:2" x14ac:dyDescent="0.3">
      <c r="A4142" t="s">
        <v>172</v>
      </c>
      <c r="B4142" t="s">
        <v>173</v>
      </c>
    </row>
    <row r="4143" spans="1:2" x14ac:dyDescent="0.3">
      <c r="A4143" t="s">
        <v>4276</v>
      </c>
      <c r="B4143" t="s">
        <v>188</v>
      </c>
    </row>
    <row r="4144" spans="1:2" x14ac:dyDescent="0.3">
      <c r="A4144" t="s">
        <v>3608</v>
      </c>
      <c r="B4144" t="s">
        <v>188</v>
      </c>
    </row>
    <row r="4145" spans="1:2" x14ac:dyDescent="0.3">
      <c r="A4145" t="s">
        <v>3843</v>
      </c>
      <c r="B4145" t="s">
        <v>173</v>
      </c>
    </row>
    <row r="4146" spans="1:2" x14ac:dyDescent="0.3">
      <c r="A4146" t="s">
        <v>1805</v>
      </c>
    </row>
    <row r="4147" spans="1:2" x14ac:dyDescent="0.3">
      <c r="A4147" t="s">
        <v>3844</v>
      </c>
      <c r="B4147" t="s">
        <v>173</v>
      </c>
    </row>
    <row r="4148" spans="1:2" x14ac:dyDescent="0.3">
      <c r="A4148" t="s">
        <v>1878</v>
      </c>
      <c r="B4148" t="s">
        <v>596</v>
      </c>
    </row>
    <row r="4149" spans="1:2" x14ac:dyDescent="0.3">
      <c r="A4149" t="s">
        <v>3431</v>
      </c>
      <c r="B4149" t="s">
        <v>151</v>
      </c>
    </row>
    <row r="4150" spans="1:2" x14ac:dyDescent="0.3">
      <c r="A4150" t="s">
        <v>2957</v>
      </c>
      <c r="B4150" t="s">
        <v>2958</v>
      </c>
    </row>
    <row r="4151" spans="1:2" x14ac:dyDescent="0.3">
      <c r="A4151" t="s">
        <v>1503</v>
      </c>
      <c r="B4151" t="s">
        <v>494</v>
      </c>
    </row>
    <row r="4152" spans="1:2" x14ac:dyDescent="0.3">
      <c r="A4152" t="s">
        <v>1362</v>
      </c>
      <c r="B4152" t="s">
        <v>129</v>
      </c>
    </row>
    <row r="4153" spans="1:2" x14ac:dyDescent="0.3">
      <c r="A4153" t="s">
        <v>469</v>
      </c>
      <c r="B4153" t="s">
        <v>133</v>
      </c>
    </row>
    <row r="4154" spans="1:2" x14ac:dyDescent="0.3">
      <c r="A4154" t="s">
        <v>2306</v>
      </c>
      <c r="B4154" t="s">
        <v>133</v>
      </c>
    </row>
    <row r="4155" spans="1:2" x14ac:dyDescent="0.3">
      <c r="A4155" t="s">
        <v>507</v>
      </c>
      <c r="B4155" t="s">
        <v>133</v>
      </c>
    </row>
    <row r="4156" spans="1:2" x14ac:dyDescent="0.3">
      <c r="A4156" t="s">
        <v>2769</v>
      </c>
      <c r="B4156" t="s">
        <v>133</v>
      </c>
    </row>
    <row r="4157" spans="1:2" x14ac:dyDescent="0.3">
      <c r="A4157" t="s">
        <v>2770</v>
      </c>
      <c r="B4157" t="s">
        <v>133</v>
      </c>
    </row>
    <row r="4158" spans="1:2" x14ac:dyDescent="0.3">
      <c r="A4158" t="s">
        <v>2617</v>
      </c>
      <c r="B4158" t="s">
        <v>129</v>
      </c>
    </row>
    <row r="4159" spans="1:2" x14ac:dyDescent="0.3">
      <c r="A4159" t="s">
        <v>473</v>
      </c>
      <c r="B4159" t="s">
        <v>133</v>
      </c>
    </row>
    <row r="4160" spans="1:2" x14ac:dyDescent="0.3">
      <c r="A4160" t="s">
        <v>182</v>
      </c>
      <c r="B4160" t="s">
        <v>175</v>
      </c>
    </row>
    <row r="4161" spans="1:2" x14ac:dyDescent="0.3">
      <c r="A4161" t="s">
        <v>3931</v>
      </c>
      <c r="B4161" t="s">
        <v>175</v>
      </c>
    </row>
    <row r="4162" spans="1:2" x14ac:dyDescent="0.3">
      <c r="A4162" t="s">
        <v>3226</v>
      </c>
      <c r="B4162" t="s">
        <v>175</v>
      </c>
    </row>
    <row r="4163" spans="1:2" x14ac:dyDescent="0.3">
      <c r="A4163" t="s">
        <v>515</v>
      </c>
      <c r="B4163" t="s">
        <v>175</v>
      </c>
    </row>
    <row r="4164" spans="1:2" x14ac:dyDescent="0.3">
      <c r="A4164" t="s">
        <v>2661</v>
      </c>
      <c r="B4164" t="s">
        <v>175</v>
      </c>
    </row>
    <row r="4165" spans="1:2" x14ac:dyDescent="0.3">
      <c r="A4165" t="s">
        <v>3372</v>
      </c>
      <c r="B4165" t="s">
        <v>175</v>
      </c>
    </row>
    <row r="4166" spans="1:2" x14ac:dyDescent="0.3">
      <c r="A4166" t="s">
        <v>2956</v>
      </c>
      <c r="B4166" t="s">
        <v>175</v>
      </c>
    </row>
    <row r="4167" spans="1:2" x14ac:dyDescent="0.3">
      <c r="A4167" t="s">
        <v>1743</v>
      </c>
      <c r="B4167" t="s">
        <v>175</v>
      </c>
    </row>
    <row r="4168" spans="1:2" x14ac:dyDescent="0.3">
      <c r="A4168" t="s">
        <v>3369</v>
      </c>
      <c r="B4168" t="s">
        <v>175</v>
      </c>
    </row>
    <row r="4169" spans="1:2" x14ac:dyDescent="0.3">
      <c r="A4169" t="s">
        <v>1661</v>
      </c>
      <c r="B4169" t="s">
        <v>129</v>
      </c>
    </row>
    <row r="4170" spans="1:2" x14ac:dyDescent="0.3">
      <c r="A4170" t="s">
        <v>2236</v>
      </c>
      <c r="B4170" t="s">
        <v>13</v>
      </c>
    </row>
    <row r="4171" spans="1:2" x14ac:dyDescent="0.3">
      <c r="A4171" t="s">
        <v>3175</v>
      </c>
      <c r="B4171" t="s">
        <v>20</v>
      </c>
    </row>
    <row r="4172" spans="1:2" x14ac:dyDescent="0.3">
      <c r="A4172" t="s">
        <v>946</v>
      </c>
      <c r="B4172" t="s">
        <v>366</v>
      </c>
    </row>
    <row r="4173" spans="1:2" x14ac:dyDescent="0.3">
      <c r="A4173" t="s">
        <v>3230</v>
      </c>
      <c r="B4173" t="s">
        <v>20</v>
      </c>
    </row>
    <row r="4174" spans="1:2" x14ac:dyDescent="0.3">
      <c r="A4174" t="s">
        <v>3176</v>
      </c>
      <c r="B4174" t="s">
        <v>20</v>
      </c>
    </row>
    <row r="4175" spans="1:2" x14ac:dyDescent="0.3">
      <c r="A4175" t="s">
        <v>3757</v>
      </c>
      <c r="B4175" t="s">
        <v>20</v>
      </c>
    </row>
    <row r="4176" spans="1:2" x14ac:dyDescent="0.3">
      <c r="A4176" t="s">
        <v>3177</v>
      </c>
      <c r="B4176" t="s">
        <v>20</v>
      </c>
    </row>
    <row r="4177" spans="1:2" x14ac:dyDescent="0.3">
      <c r="A4177" t="s">
        <v>3231</v>
      </c>
      <c r="B4177" t="s">
        <v>20</v>
      </c>
    </row>
    <row r="4178" spans="1:2" x14ac:dyDescent="0.3">
      <c r="A4178" t="s">
        <v>3648</v>
      </c>
      <c r="B4178" t="s">
        <v>3649</v>
      </c>
    </row>
    <row r="4179" spans="1:2" x14ac:dyDescent="0.3">
      <c r="A4179" t="s">
        <v>1463</v>
      </c>
      <c r="B4179" t="s">
        <v>1464</v>
      </c>
    </row>
    <row r="4180" spans="1:2" x14ac:dyDescent="0.3">
      <c r="A4180" t="s">
        <v>3232</v>
      </c>
      <c r="B4180" t="s">
        <v>20</v>
      </c>
    </row>
    <row r="4181" spans="1:2" x14ac:dyDescent="0.3">
      <c r="A4181" t="s">
        <v>3178</v>
      </c>
      <c r="B4181" t="s">
        <v>20</v>
      </c>
    </row>
    <row r="4182" spans="1:2" x14ac:dyDescent="0.3">
      <c r="A4182" t="s">
        <v>3233</v>
      </c>
      <c r="B4182" t="s">
        <v>20</v>
      </c>
    </row>
    <row r="4183" spans="1:2" x14ac:dyDescent="0.3">
      <c r="A4183" t="s">
        <v>3234</v>
      </c>
      <c r="B4183" t="s">
        <v>20</v>
      </c>
    </row>
    <row r="4184" spans="1:2" x14ac:dyDescent="0.3">
      <c r="A4184" t="s">
        <v>3235</v>
      </c>
      <c r="B4184" t="s">
        <v>20</v>
      </c>
    </row>
    <row r="4185" spans="1:2" x14ac:dyDescent="0.3">
      <c r="A4185" t="s">
        <v>3179</v>
      </c>
      <c r="B4185" t="s">
        <v>20</v>
      </c>
    </row>
    <row r="4186" spans="1:2" x14ac:dyDescent="0.3">
      <c r="A4186" t="s">
        <v>3180</v>
      </c>
      <c r="B4186" t="s">
        <v>20</v>
      </c>
    </row>
    <row r="4187" spans="1:2" x14ac:dyDescent="0.3">
      <c r="A4187" t="s">
        <v>3181</v>
      </c>
      <c r="B4187" t="s">
        <v>20</v>
      </c>
    </row>
    <row r="4188" spans="1:2" x14ac:dyDescent="0.3">
      <c r="A4188" t="s">
        <v>4449</v>
      </c>
      <c r="B4188" t="s">
        <v>4450</v>
      </c>
    </row>
    <row r="4189" spans="1:2" x14ac:dyDescent="0.3">
      <c r="A4189" t="s">
        <v>3423</v>
      </c>
      <c r="B4189" t="s">
        <v>119</v>
      </c>
    </row>
    <row r="4190" spans="1:2" x14ac:dyDescent="0.3">
      <c r="A4190" t="s">
        <v>3424</v>
      </c>
      <c r="B4190" t="s">
        <v>119</v>
      </c>
    </row>
    <row r="4191" spans="1:2" x14ac:dyDescent="0.3">
      <c r="A4191" t="s">
        <v>3425</v>
      </c>
      <c r="B4191" t="s">
        <v>1364</v>
      </c>
    </row>
    <row r="4192" spans="1:2" x14ac:dyDescent="0.3">
      <c r="A4192" t="s">
        <v>3264</v>
      </c>
      <c r="B4192" t="s">
        <v>494</v>
      </c>
    </row>
    <row r="4193" spans="1:2" x14ac:dyDescent="0.3">
      <c r="A4193" t="s">
        <v>1729</v>
      </c>
      <c r="B4193" t="s">
        <v>175</v>
      </c>
    </row>
    <row r="4194" spans="1:2" x14ac:dyDescent="0.3">
      <c r="A4194" t="s">
        <v>2606</v>
      </c>
      <c r="B4194" t="s">
        <v>2607</v>
      </c>
    </row>
    <row r="4195" spans="1:2" x14ac:dyDescent="0.3">
      <c r="A4195" t="s">
        <v>4641</v>
      </c>
      <c r="B4195" t="s">
        <v>4642</v>
      </c>
    </row>
    <row r="4196" spans="1:2" x14ac:dyDescent="0.3">
      <c r="A4196" t="s">
        <v>680</v>
      </c>
    </row>
    <row r="4197" spans="1:2" x14ac:dyDescent="0.3">
      <c r="A4197" t="s">
        <v>1240</v>
      </c>
    </row>
    <row r="4198" spans="1:2" x14ac:dyDescent="0.3">
      <c r="A4198" t="s">
        <v>1238</v>
      </c>
      <c r="B4198" t="s">
        <v>1239</v>
      </c>
    </row>
    <row r="4199" spans="1:2" x14ac:dyDescent="0.3">
      <c r="A4199" t="s">
        <v>433</v>
      </c>
    </row>
    <row r="4200" spans="1:2" x14ac:dyDescent="0.3">
      <c r="A4200" t="s">
        <v>425</v>
      </c>
    </row>
    <row r="4201" spans="1:2" x14ac:dyDescent="0.3">
      <c r="A4201" t="s">
        <v>2157</v>
      </c>
      <c r="B4201" t="s">
        <v>314</v>
      </c>
    </row>
    <row r="4202" spans="1:2" x14ac:dyDescent="0.3">
      <c r="A4202" t="s">
        <v>2158</v>
      </c>
      <c r="B4202" t="s">
        <v>2159</v>
      </c>
    </row>
    <row r="4203" spans="1:2" x14ac:dyDescent="0.3">
      <c r="A4203" t="s">
        <v>572</v>
      </c>
      <c r="B4203" t="s">
        <v>188</v>
      </c>
    </row>
    <row r="4204" spans="1:2" x14ac:dyDescent="0.3">
      <c r="A4204" t="s">
        <v>1349</v>
      </c>
      <c r="B4204" t="s">
        <v>188</v>
      </c>
    </row>
    <row r="4205" spans="1:2" x14ac:dyDescent="0.3">
      <c r="A4205" t="s">
        <v>3841</v>
      </c>
      <c r="B4205" t="s">
        <v>173</v>
      </c>
    </row>
    <row r="4206" spans="1:2" x14ac:dyDescent="0.3">
      <c r="A4206" t="s">
        <v>2344</v>
      </c>
      <c r="B4206" t="s">
        <v>188</v>
      </c>
    </row>
    <row r="4207" spans="1:2" x14ac:dyDescent="0.3">
      <c r="A4207" t="s">
        <v>1123</v>
      </c>
      <c r="B4207" t="s">
        <v>173</v>
      </c>
    </row>
    <row r="4208" spans="1:2" x14ac:dyDescent="0.3">
      <c r="A4208" t="s">
        <v>451</v>
      </c>
      <c r="B4208" t="s">
        <v>173</v>
      </c>
    </row>
    <row r="4209" spans="1:2" x14ac:dyDescent="0.3">
      <c r="A4209" t="s">
        <v>720</v>
      </c>
    </row>
    <row r="4210" spans="1:2" x14ac:dyDescent="0.3">
      <c r="A4210" t="s">
        <v>582</v>
      </c>
      <c r="B4210" t="s">
        <v>188</v>
      </c>
    </row>
    <row r="4211" spans="1:2" x14ac:dyDescent="0.3">
      <c r="A4211" t="s">
        <v>580</v>
      </c>
      <c r="B4211" t="s">
        <v>188</v>
      </c>
    </row>
    <row r="4212" spans="1:2" x14ac:dyDescent="0.3">
      <c r="A4212" t="s">
        <v>581</v>
      </c>
      <c r="B4212" t="s">
        <v>278</v>
      </c>
    </row>
    <row r="4213" spans="1:2" x14ac:dyDescent="0.3">
      <c r="A4213" t="s">
        <v>605</v>
      </c>
      <c r="B4213" t="s">
        <v>278</v>
      </c>
    </row>
    <row r="4214" spans="1:2" x14ac:dyDescent="0.3">
      <c r="A4214" t="s">
        <v>2055</v>
      </c>
      <c r="B4214" t="s">
        <v>188</v>
      </c>
    </row>
    <row r="4215" spans="1:2" x14ac:dyDescent="0.3">
      <c r="A4215" t="s">
        <v>2345</v>
      </c>
      <c r="B4215" t="s">
        <v>2346</v>
      </c>
    </row>
    <row r="4216" spans="1:2" x14ac:dyDescent="0.3">
      <c r="A4216" t="s">
        <v>609</v>
      </c>
      <c r="B4216" t="s">
        <v>188</v>
      </c>
    </row>
    <row r="4217" spans="1:2" x14ac:dyDescent="0.3">
      <c r="A4217" t="s">
        <v>1350</v>
      </c>
      <c r="B4217" t="s">
        <v>1351</v>
      </c>
    </row>
    <row r="4218" spans="1:2" x14ac:dyDescent="0.3">
      <c r="A4218" t="s">
        <v>2054</v>
      </c>
      <c r="B4218" t="s">
        <v>132</v>
      </c>
    </row>
    <row r="4219" spans="1:2" x14ac:dyDescent="0.3">
      <c r="A4219" t="s">
        <v>2056</v>
      </c>
      <c r="B4219" t="s">
        <v>596</v>
      </c>
    </row>
    <row r="4220" spans="1:2" x14ac:dyDescent="0.3">
      <c r="A4220" t="s">
        <v>724</v>
      </c>
    </row>
    <row r="4221" spans="1:2" x14ac:dyDescent="0.3">
      <c r="A4221" t="s">
        <v>2753</v>
      </c>
      <c r="B4221" t="s">
        <v>188</v>
      </c>
    </row>
    <row r="4222" spans="1:2" x14ac:dyDescent="0.3">
      <c r="A4222" t="s">
        <v>604</v>
      </c>
      <c r="B4222" t="s">
        <v>188</v>
      </c>
    </row>
    <row r="4223" spans="1:2" x14ac:dyDescent="0.3">
      <c r="A4223" t="s">
        <v>2347</v>
      </c>
      <c r="B4223" t="s">
        <v>2348</v>
      </c>
    </row>
    <row r="4224" spans="1:2" x14ac:dyDescent="0.3">
      <c r="A4224" t="s">
        <v>610</v>
      </c>
      <c r="B4224" t="s">
        <v>188</v>
      </c>
    </row>
    <row r="4225" spans="1:2" x14ac:dyDescent="0.3">
      <c r="A4225" t="s">
        <v>3479</v>
      </c>
      <c r="B4225" t="s">
        <v>188</v>
      </c>
    </row>
    <row r="4226" spans="1:2" x14ac:dyDescent="0.3">
      <c r="A4226" t="s">
        <v>726</v>
      </c>
    </row>
    <row r="4227" spans="1:2" x14ac:dyDescent="0.3">
      <c r="A4227" t="s">
        <v>575</v>
      </c>
      <c r="B4227" t="s">
        <v>576</v>
      </c>
    </row>
    <row r="4228" spans="1:2" x14ac:dyDescent="0.3">
      <c r="A4228" t="s">
        <v>577</v>
      </c>
      <c r="B4228" t="s">
        <v>188</v>
      </c>
    </row>
    <row r="4229" spans="1:2" x14ac:dyDescent="0.3">
      <c r="A4229" t="s">
        <v>2208</v>
      </c>
      <c r="B4229" t="s">
        <v>596</v>
      </c>
    </row>
    <row r="4230" spans="1:2" x14ac:dyDescent="0.3">
      <c r="A4230" t="s">
        <v>1124</v>
      </c>
      <c r="B4230" t="s">
        <v>278</v>
      </c>
    </row>
    <row r="4231" spans="1:2" x14ac:dyDescent="0.3">
      <c r="A4231" t="s">
        <v>621</v>
      </c>
      <c r="B4231" t="s">
        <v>188</v>
      </c>
    </row>
    <row r="4232" spans="1:2" x14ac:dyDescent="0.3">
      <c r="A4232" t="s">
        <v>574</v>
      </c>
      <c r="B4232" t="s">
        <v>173</v>
      </c>
    </row>
    <row r="4233" spans="1:2" x14ac:dyDescent="0.3">
      <c r="A4233" t="s">
        <v>1506</v>
      </c>
      <c r="B4233" t="s">
        <v>188</v>
      </c>
    </row>
    <row r="4234" spans="1:2" x14ac:dyDescent="0.3">
      <c r="A4234" t="s">
        <v>608</v>
      </c>
      <c r="B4234" t="s">
        <v>173</v>
      </c>
    </row>
    <row r="4235" spans="1:2" x14ac:dyDescent="0.3">
      <c r="A4235" t="s">
        <v>1125</v>
      </c>
      <c r="B4235" t="s">
        <v>278</v>
      </c>
    </row>
    <row r="4236" spans="1:2" x14ac:dyDescent="0.3">
      <c r="A4236" t="s">
        <v>2057</v>
      </c>
      <c r="B4236" t="s">
        <v>1575</v>
      </c>
    </row>
    <row r="4237" spans="1:2" x14ac:dyDescent="0.3">
      <c r="A4237" t="s">
        <v>1664</v>
      </c>
      <c r="B4237" t="s">
        <v>188</v>
      </c>
    </row>
    <row r="4238" spans="1:2" x14ac:dyDescent="0.3">
      <c r="A4238" t="s">
        <v>1126</v>
      </c>
      <c r="B4238" t="s">
        <v>173</v>
      </c>
    </row>
    <row r="4239" spans="1:2" x14ac:dyDescent="0.3">
      <c r="A4239" t="s">
        <v>725</v>
      </c>
    </row>
    <row r="4240" spans="1:2" x14ac:dyDescent="0.3">
      <c r="A4240" t="s">
        <v>607</v>
      </c>
      <c r="B4240" t="s">
        <v>173</v>
      </c>
    </row>
    <row r="4241" spans="1:2" x14ac:dyDescent="0.3">
      <c r="A4241" t="s">
        <v>599</v>
      </c>
      <c r="B4241" t="s">
        <v>188</v>
      </c>
    </row>
    <row r="4242" spans="1:2" x14ac:dyDescent="0.3">
      <c r="A4242" t="s">
        <v>2058</v>
      </c>
      <c r="B4242" t="s">
        <v>188</v>
      </c>
    </row>
    <row r="4243" spans="1:2" x14ac:dyDescent="0.3">
      <c r="A4243" t="s">
        <v>909</v>
      </c>
      <c r="B4243" t="s">
        <v>188</v>
      </c>
    </row>
    <row r="4244" spans="1:2" x14ac:dyDescent="0.3">
      <c r="A4244" t="s">
        <v>910</v>
      </c>
      <c r="B4244" t="s">
        <v>188</v>
      </c>
    </row>
    <row r="4245" spans="1:2" x14ac:dyDescent="0.3">
      <c r="A4245" t="s">
        <v>450</v>
      </c>
    </row>
    <row r="4246" spans="1:2" x14ac:dyDescent="0.3">
      <c r="A4246" t="s">
        <v>3609</v>
      </c>
      <c r="B4246" t="s">
        <v>278</v>
      </c>
    </row>
    <row r="4247" spans="1:2" x14ac:dyDescent="0.3">
      <c r="A4247" t="s">
        <v>3610</v>
      </c>
      <c r="B4247" t="s">
        <v>132</v>
      </c>
    </row>
    <row r="4248" spans="1:2" x14ac:dyDescent="0.3">
      <c r="A4248" t="s">
        <v>3611</v>
      </c>
      <c r="B4248" t="s">
        <v>132</v>
      </c>
    </row>
    <row r="4249" spans="1:2" x14ac:dyDescent="0.3">
      <c r="A4249" t="s">
        <v>4518</v>
      </c>
      <c r="B4249" t="s">
        <v>188</v>
      </c>
    </row>
    <row r="4250" spans="1:2" x14ac:dyDescent="0.3">
      <c r="A4250" t="s">
        <v>3612</v>
      </c>
      <c r="B4250" t="s">
        <v>188</v>
      </c>
    </row>
    <row r="4251" spans="1:2" x14ac:dyDescent="0.3">
      <c r="A4251" t="s">
        <v>3613</v>
      </c>
      <c r="B4251" t="s">
        <v>576</v>
      </c>
    </row>
    <row r="4252" spans="1:2" x14ac:dyDescent="0.3">
      <c r="A4252" t="s">
        <v>3614</v>
      </c>
      <c r="B4252" t="s">
        <v>132</v>
      </c>
    </row>
    <row r="4253" spans="1:2" x14ac:dyDescent="0.3">
      <c r="A4253" t="s">
        <v>4451</v>
      </c>
      <c r="B4253" t="s">
        <v>278</v>
      </c>
    </row>
    <row r="4254" spans="1:2" x14ac:dyDescent="0.3">
      <c r="A4254" t="s">
        <v>3615</v>
      </c>
      <c r="B4254" t="s">
        <v>1189</v>
      </c>
    </row>
    <row r="4255" spans="1:2" x14ac:dyDescent="0.3">
      <c r="A4255" t="s">
        <v>3633</v>
      </c>
      <c r="B4255" t="s">
        <v>132</v>
      </c>
    </row>
    <row r="4256" spans="1:2" x14ac:dyDescent="0.3">
      <c r="A4256" t="s">
        <v>3616</v>
      </c>
      <c r="B4256" t="s">
        <v>132</v>
      </c>
    </row>
    <row r="4257" spans="1:2" x14ac:dyDescent="0.3">
      <c r="A4257" t="s">
        <v>620</v>
      </c>
      <c r="B4257" t="s">
        <v>188</v>
      </c>
    </row>
    <row r="4258" spans="1:2" x14ac:dyDescent="0.3">
      <c r="A4258" t="s">
        <v>4452</v>
      </c>
      <c r="B4258" t="s">
        <v>173</v>
      </c>
    </row>
    <row r="4259" spans="1:2" x14ac:dyDescent="0.3">
      <c r="A4259" t="s">
        <v>1557</v>
      </c>
      <c r="B4259" t="s">
        <v>188</v>
      </c>
    </row>
    <row r="4260" spans="1:2" x14ac:dyDescent="0.3">
      <c r="A4260" t="s">
        <v>573</v>
      </c>
      <c r="B4260" t="s">
        <v>173</v>
      </c>
    </row>
    <row r="4261" spans="1:2" x14ac:dyDescent="0.3">
      <c r="A4261" t="s">
        <v>4208</v>
      </c>
      <c r="B4261" t="s">
        <v>188</v>
      </c>
    </row>
    <row r="4262" spans="1:2" x14ac:dyDescent="0.3">
      <c r="A4262" t="s">
        <v>1394</v>
      </c>
      <c r="B4262" t="s">
        <v>188</v>
      </c>
    </row>
    <row r="4263" spans="1:2" x14ac:dyDescent="0.3">
      <c r="A4263" t="s">
        <v>4211</v>
      </c>
      <c r="B4263" t="s">
        <v>188</v>
      </c>
    </row>
    <row r="4264" spans="1:2" x14ac:dyDescent="0.3">
      <c r="A4264" t="s">
        <v>4212</v>
      </c>
      <c r="B4264" t="s">
        <v>188</v>
      </c>
    </row>
    <row r="4265" spans="1:2" x14ac:dyDescent="0.3">
      <c r="A4265" t="s">
        <v>2175</v>
      </c>
      <c r="B4265" t="s">
        <v>188</v>
      </c>
    </row>
    <row r="4266" spans="1:2" x14ac:dyDescent="0.3">
      <c r="A4266" t="s">
        <v>4210</v>
      </c>
      <c r="B4266" t="s">
        <v>188</v>
      </c>
    </row>
    <row r="4267" spans="1:2" x14ac:dyDescent="0.3">
      <c r="A4267" t="s">
        <v>1395</v>
      </c>
      <c r="B4267" t="s">
        <v>188</v>
      </c>
    </row>
    <row r="4268" spans="1:2" x14ac:dyDescent="0.3">
      <c r="A4268" t="s">
        <v>1396</v>
      </c>
      <c r="B4268" t="s">
        <v>188</v>
      </c>
    </row>
    <row r="4269" spans="1:2" x14ac:dyDescent="0.3">
      <c r="A4269" t="s">
        <v>4168</v>
      </c>
      <c r="B4269" t="s">
        <v>188</v>
      </c>
    </row>
    <row r="4270" spans="1:2" x14ac:dyDescent="0.3">
      <c r="A4270" t="s">
        <v>4214</v>
      </c>
      <c r="B4270" t="s">
        <v>188</v>
      </c>
    </row>
    <row r="4271" spans="1:2" x14ac:dyDescent="0.3">
      <c r="A4271" t="s">
        <v>4252</v>
      </c>
      <c r="B4271" t="s">
        <v>188</v>
      </c>
    </row>
    <row r="4272" spans="1:2" x14ac:dyDescent="0.3">
      <c r="A4272" t="s">
        <v>4219</v>
      </c>
      <c r="B4272" t="s">
        <v>188</v>
      </c>
    </row>
    <row r="4273" spans="1:2" x14ac:dyDescent="0.3">
      <c r="A4273" t="s">
        <v>4218</v>
      </c>
      <c r="B4273" t="s">
        <v>188</v>
      </c>
    </row>
    <row r="4274" spans="1:2" x14ac:dyDescent="0.3">
      <c r="A4274" t="s">
        <v>4220</v>
      </c>
      <c r="B4274" t="s">
        <v>188</v>
      </c>
    </row>
    <row r="4275" spans="1:2" x14ac:dyDescent="0.3">
      <c r="A4275" t="s">
        <v>4179</v>
      </c>
      <c r="B4275" t="s">
        <v>188</v>
      </c>
    </row>
    <row r="4276" spans="1:2" x14ac:dyDescent="0.3">
      <c r="A4276" t="s">
        <v>4221</v>
      </c>
      <c r="B4276" t="s">
        <v>188</v>
      </c>
    </row>
    <row r="4277" spans="1:2" x14ac:dyDescent="0.3">
      <c r="A4277" t="s">
        <v>4222</v>
      </c>
      <c r="B4277" t="s">
        <v>188</v>
      </c>
    </row>
    <row r="4278" spans="1:2" x14ac:dyDescent="0.3">
      <c r="A4278" t="s">
        <v>4223</v>
      </c>
      <c r="B4278" t="s">
        <v>188</v>
      </c>
    </row>
    <row r="4279" spans="1:2" x14ac:dyDescent="0.3">
      <c r="A4279" t="s">
        <v>4225</v>
      </c>
      <c r="B4279" t="s">
        <v>188</v>
      </c>
    </row>
    <row r="4280" spans="1:2" x14ac:dyDescent="0.3">
      <c r="A4280" t="s">
        <v>4170</v>
      </c>
      <c r="B4280" t="s">
        <v>188</v>
      </c>
    </row>
    <row r="4281" spans="1:2" x14ac:dyDescent="0.3">
      <c r="A4281" t="s">
        <v>4226</v>
      </c>
      <c r="B4281" t="s">
        <v>188</v>
      </c>
    </row>
    <row r="4282" spans="1:2" x14ac:dyDescent="0.3">
      <c r="A4282" t="s">
        <v>4227</v>
      </c>
      <c r="B4282" t="s">
        <v>188</v>
      </c>
    </row>
    <row r="4283" spans="1:2" x14ac:dyDescent="0.3">
      <c r="A4283" t="s">
        <v>4231</v>
      </c>
      <c r="B4283" t="s">
        <v>188</v>
      </c>
    </row>
    <row r="4284" spans="1:2" x14ac:dyDescent="0.3">
      <c r="A4284" t="s">
        <v>4177</v>
      </c>
      <c r="B4284" t="s">
        <v>188</v>
      </c>
    </row>
    <row r="4285" spans="1:2" x14ac:dyDescent="0.3">
      <c r="A4285" t="s">
        <v>4234</v>
      </c>
      <c r="B4285" t="s">
        <v>188</v>
      </c>
    </row>
    <row r="4286" spans="1:2" x14ac:dyDescent="0.3">
      <c r="A4286" t="s">
        <v>4178</v>
      </c>
      <c r="B4286" t="s">
        <v>188</v>
      </c>
    </row>
    <row r="4287" spans="1:2" x14ac:dyDescent="0.3">
      <c r="A4287" t="s">
        <v>4237</v>
      </c>
      <c r="B4287" t="s">
        <v>173</v>
      </c>
    </row>
    <row r="4288" spans="1:2" x14ac:dyDescent="0.3">
      <c r="A4288" t="s">
        <v>4205</v>
      </c>
      <c r="B4288" t="s">
        <v>188</v>
      </c>
    </row>
    <row r="4289" spans="1:2" x14ac:dyDescent="0.3">
      <c r="A4289" t="s">
        <v>4230</v>
      </c>
      <c r="B4289" t="s">
        <v>173</v>
      </c>
    </row>
    <row r="4290" spans="1:2" x14ac:dyDescent="0.3">
      <c r="A4290" t="s">
        <v>4233</v>
      </c>
      <c r="B4290" t="s">
        <v>188</v>
      </c>
    </row>
    <row r="4291" spans="1:2" x14ac:dyDescent="0.3">
      <c r="A4291" t="s">
        <v>3016</v>
      </c>
      <c r="B4291" t="s">
        <v>188</v>
      </c>
    </row>
    <row r="4292" spans="1:2" x14ac:dyDescent="0.3">
      <c r="A4292" t="s">
        <v>4169</v>
      </c>
      <c r="B4292" t="s">
        <v>188</v>
      </c>
    </row>
    <row r="4293" spans="1:2" x14ac:dyDescent="0.3">
      <c r="A4293" t="s">
        <v>752</v>
      </c>
      <c r="B4293" t="s">
        <v>751</v>
      </c>
    </row>
    <row r="4294" spans="1:2" x14ac:dyDescent="0.3">
      <c r="A4294" t="s">
        <v>750</v>
      </c>
      <c r="B4294" t="s">
        <v>751</v>
      </c>
    </row>
    <row r="4295" spans="1:2" x14ac:dyDescent="0.3">
      <c r="A4295" t="s">
        <v>518</v>
      </c>
      <c r="B4295" t="s">
        <v>175</v>
      </c>
    </row>
    <row r="4296" spans="1:2" x14ac:dyDescent="0.3">
      <c r="A4296" t="s">
        <v>1169</v>
      </c>
      <c r="B4296" t="s">
        <v>175</v>
      </c>
    </row>
    <row r="4297" spans="1:2" x14ac:dyDescent="0.3">
      <c r="A4297" t="s">
        <v>4725</v>
      </c>
      <c r="B4297" t="s">
        <v>175</v>
      </c>
    </row>
    <row r="4298" spans="1:2" x14ac:dyDescent="0.3">
      <c r="A4298" t="s">
        <v>268</v>
      </c>
      <c r="B4298" t="s">
        <v>175</v>
      </c>
    </row>
    <row r="4299" spans="1:2" x14ac:dyDescent="0.3">
      <c r="A4299" t="s">
        <v>2995</v>
      </c>
      <c r="B4299" t="s">
        <v>175</v>
      </c>
    </row>
    <row r="4300" spans="1:2" x14ac:dyDescent="0.3">
      <c r="A4300" t="s">
        <v>3290</v>
      </c>
      <c r="B4300" t="s">
        <v>3291</v>
      </c>
    </row>
    <row r="4301" spans="1:2" x14ac:dyDescent="0.3">
      <c r="A4301" t="s">
        <v>327</v>
      </c>
    </row>
    <row r="4302" spans="1:2" x14ac:dyDescent="0.3">
      <c r="A4302" t="s">
        <v>466</v>
      </c>
      <c r="B4302" t="s">
        <v>22</v>
      </c>
    </row>
    <row r="4303" spans="1:2" x14ac:dyDescent="0.3">
      <c r="A4303" t="s">
        <v>467</v>
      </c>
      <c r="B4303" t="s">
        <v>22</v>
      </c>
    </row>
    <row r="4304" spans="1:2" x14ac:dyDescent="0.3">
      <c r="A4304" t="s">
        <v>1256</v>
      </c>
      <c r="B4304" t="s">
        <v>1257</v>
      </c>
    </row>
    <row r="4305" spans="1:2" x14ac:dyDescent="0.3">
      <c r="A4305" t="s">
        <v>251</v>
      </c>
      <c r="B4305" t="s">
        <v>252</v>
      </c>
    </row>
    <row r="4306" spans="1:2" x14ac:dyDescent="0.3">
      <c r="A4306" t="s">
        <v>422</v>
      </c>
      <c r="B4306" t="s">
        <v>290</v>
      </c>
    </row>
    <row r="4307" spans="1:2" x14ac:dyDescent="0.3">
      <c r="A4307" t="s">
        <v>253</v>
      </c>
      <c r="B4307" t="s">
        <v>252</v>
      </c>
    </row>
    <row r="4308" spans="1:2" x14ac:dyDescent="0.3">
      <c r="A4308" t="s">
        <v>107</v>
      </c>
      <c r="B4308" t="s">
        <v>108</v>
      </c>
    </row>
    <row r="4309" spans="1:2" x14ac:dyDescent="0.3">
      <c r="A4309" t="s">
        <v>99</v>
      </c>
    </row>
    <row r="4310" spans="1:2" x14ac:dyDescent="0.3">
      <c r="A4310" t="s">
        <v>26</v>
      </c>
      <c r="B4310" t="s">
        <v>20</v>
      </c>
    </row>
    <row r="4311" spans="1:2" x14ac:dyDescent="0.3">
      <c r="A4311" t="s">
        <v>19</v>
      </c>
      <c r="B4311" t="s">
        <v>20</v>
      </c>
    </row>
    <row r="4312" spans="1:2" x14ac:dyDescent="0.3">
      <c r="A4312" t="s">
        <v>23</v>
      </c>
      <c r="B4312" t="s">
        <v>24</v>
      </c>
    </row>
    <row r="4313" spans="1:2" x14ac:dyDescent="0.3">
      <c r="A4313" t="s">
        <v>254</v>
      </c>
      <c r="B4313" t="s">
        <v>252</v>
      </c>
    </row>
    <row r="4314" spans="1:2" x14ac:dyDescent="0.3">
      <c r="A4314" t="s">
        <v>28</v>
      </c>
      <c r="B4314" t="s">
        <v>29</v>
      </c>
    </row>
    <row r="4315" spans="1:2" x14ac:dyDescent="0.3">
      <c r="A4315" t="s">
        <v>3443</v>
      </c>
      <c r="B4315" t="s">
        <v>3444</v>
      </c>
    </row>
    <row r="4316" spans="1:2" x14ac:dyDescent="0.3">
      <c r="A4316" t="s">
        <v>4004</v>
      </c>
      <c r="B4316" t="s">
        <v>22</v>
      </c>
    </row>
    <row r="4317" spans="1:2" x14ac:dyDescent="0.3">
      <c r="A4317" t="s">
        <v>3679</v>
      </c>
      <c r="B4317" t="s">
        <v>3680</v>
      </c>
    </row>
    <row r="4318" spans="1:2" x14ac:dyDescent="0.3">
      <c r="A4318" t="s">
        <v>4778</v>
      </c>
      <c r="B4318" t="s">
        <v>13</v>
      </c>
    </row>
    <row r="4319" spans="1:2" x14ac:dyDescent="0.3">
      <c r="A4319" t="s">
        <v>4779</v>
      </c>
      <c r="B4319" t="s">
        <v>13</v>
      </c>
    </row>
    <row r="4320" spans="1:2" x14ac:dyDescent="0.3">
      <c r="A4320" t="s">
        <v>1112</v>
      </c>
      <c r="B4320" t="s">
        <v>13</v>
      </c>
    </row>
    <row r="4321" spans="1:2" x14ac:dyDescent="0.3">
      <c r="A4321" t="s">
        <v>4594</v>
      </c>
      <c r="B4321" t="s">
        <v>2746</v>
      </c>
    </row>
    <row r="4322" spans="1:2" x14ac:dyDescent="0.3">
      <c r="A4322" t="s">
        <v>4712</v>
      </c>
      <c r="B4322" t="s">
        <v>4713</v>
      </c>
    </row>
    <row r="4323" spans="1:2" x14ac:dyDescent="0.3">
      <c r="A4323" t="s">
        <v>4565</v>
      </c>
      <c r="B4323" t="s">
        <v>1431</v>
      </c>
    </row>
    <row r="4324" spans="1:2" x14ac:dyDescent="0.3">
      <c r="A4324" t="s">
        <v>2554</v>
      </c>
    </row>
    <row r="4325" spans="1:2" x14ac:dyDescent="0.3">
      <c r="A4325" t="s">
        <v>2555</v>
      </c>
    </row>
    <row r="4326" spans="1:2" x14ac:dyDescent="0.3">
      <c r="A4326" t="s">
        <v>2806</v>
      </c>
      <c r="B4326" t="s">
        <v>494</v>
      </c>
    </row>
    <row r="4327" spans="1:2" x14ac:dyDescent="0.3">
      <c r="A4327" t="s">
        <v>403</v>
      </c>
      <c r="B4327" t="s">
        <v>404</v>
      </c>
    </row>
    <row r="4328" spans="1:2" x14ac:dyDescent="0.3">
      <c r="A4328" t="s">
        <v>857</v>
      </c>
      <c r="B4328" t="s">
        <v>858</v>
      </c>
    </row>
    <row r="4329" spans="1:2" x14ac:dyDescent="0.3">
      <c r="A4329" t="s">
        <v>2859</v>
      </c>
      <c r="B4329" t="s">
        <v>2860</v>
      </c>
    </row>
    <row r="4330" spans="1:2" x14ac:dyDescent="0.3">
      <c r="A4330" t="s">
        <v>3504</v>
      </c>
      <c r="B4330" t="s">
        <v>3505</v>
      </c>
    </row>
    <row r="4331" spans="1:2" x14ac:dyDescent="0.3">
      <c r="A4331" t="s">
        <v>3872</v>
      </c>
      <c r="B4331" t="s">
        <v>3873</v>
      </c>
    </row>
    <row r="4332" spans="1:2" x14ac:dyDescent="0.3">
      <c r="A4332" t="s">
        <v>2301</v>
      </c>
      <c r="B4332" t="s">
        <v>1609</v>
      </c>
    </row>
    <row r="4333" spans="1:2" x14ac:dyDescent="0.3">
      <c r="A4333" t="s">
        <v>1608</v>
      </c>
      <c r="B4333" t="s">
        <v>1609</v>
      </c>
    </row>
    <row r="4334" spans="1:2" x14ac:dyDescent="0.3">
      <c r="A4334" t="s">
        <v>4527</v>
      </c>
      <c r="B4334" t="s">
        <v>3952</v>
      </c>
    </row>
    <row r="4335" spans="1:2" x14ac:dyDescent="0.3">
      <c r="A4335" t="s">
        <v>3951</v>
      </c>
      <c r="B4335" t="s">
        <v>3952</v>
      </c>
    </row>
    <row r="4336" spans="1:2" x14ac:dyDescent="0.3">
      <c r="A4336" t="s">
        <v>4047</v>
      </c>
      <c r="B4336" t="s">
        <v>4048</v>
      </c>
    </row>
    <row r="4337" spans="1:2" x14ac:dyDescent="0.3">
      <c r="A4337" t="s">
        <v>2807</v>
      </c>
      <c r="B4337" t="s">
        <v>139</v>
      </c>
    </row>
    <row r="4338" spans="1:2" x14ac:dyDescent="0.3">
      <c r="A4338" t="s">
        <v>2808</v>
      </c>
      <c r="B4338" t="s">
        <v>139</v>
      </c>
    </row>
    <row r="4339" spans="1:2" x14ac:dyDescent="0.3">
      <c r="A4339" t="s">
        <v>201</v>
      </c>
      <c r="B4339" t="s">
        <v>202</v>
      </c>
    </row>
    <row r="4340" spans="1:2" x14ac:dyDescent="0.3">
      <c r="A4340" t="s">
        <v>1616</v>
      </c>
      <c r="B4340" t="s">
        <v>119</v>
      </c>
    </row>
    <row r="4341" spans="1:2" x14ac:dyDescent="0.3">
      <c r="A4341" t="s">
        <v>3856</v>
      </c>
      <c r="B4341" t="s">
        <v>133</v>
      </c>
    </row>
    <row r="4342" spans="1:2" x14ac:dyDescent="0.3">
      <c r="A4342" t="s">
        <v>3926</v>
      </c>
      <c r="B4342" t="s">
        <v>119</v>
      </c>
    </row>
    <row r="4343" spans="1:2" x14ac:dyDescent="0.3">
      <c r="A4343" t="s">
        <v>379</v>
      </c>
      <c r="B4343" t="s">
        <v>246</v>
      </c>
    </row>
    <row r="4344" spans="1:2" x14ac:dyDescent="0.3">
      <c r="A4344" t="s">
        <v>2076</v>
      </c>
      <c r="B4344" t="s">
        <v>36</v>
      </c>
    </row>
    <row r="4345" spans="1:2" x14ac:dyDescent="0.3">
      <c r="A4345" t="s">
        <v>2077</v>
      </c>
      <c r="B4345" t="s">
        <v>36</v>
      </c>
    </row>
    <row r="4346" spans="1:2" x14ac:dyDescent="0.3">
      <c r="A4346" t="s">
        <v>2078</v>
      </c>
      <c r="B4346" t="s">
        <v>36</v>
      </c>
    </row>
    <row r="4347" spans="1:2" x14ac:dyDescent="0.3">
      <c r="A4347" t="s">
        <v>2075</v>
      </c>
      <c r="B4347" t="s">
        <v>36</v>
      </c>
    </row>
    <row r="4348" spans="1:2" x14ac:dyDescent="0.3">
      <c r="A4348" t="s">
        <v>1467</v>
      </c>
    </row>
    <row r="4349" spans="1:2" x14ac:dyDescent="0.3">
      <c r="A4349" t="s">
        <v>3696</v>
      </c>
      <c r="B4349" t="s">
        <v>11</v>
      </c>
    </row>
    <row r="4350" spans="1:2" x14ac:dyDescent="0.3">
      <c r="A4350" t="s">
        <v>4562</v>
      </c>
      <c r="B4350" t="s">
        <v>4563</v>
      </c>
    </row>
    <row r="4351" spans="1:2" x14ac:dyDescent="0.3">
      <c r="A4351" t="s">
        <v>2863</v>
      </c>
      <c r="B4351" t="s">
        <v>366</v>
      </c>
    </row>
    <row r="4352" spans="1:2" x14ac:dyDescent="0.3">
      <c r="A4352" t="s">
        <v>2864</v>
      </c>
      <c r="B4352" t="s">
        <v>366</v>
      </c>
    </row>
    <row r="4353" spans="1:2" x14ac:dyDescent="0.3">
      <c r="A4353" t="s">
        <v>365</v>
      </c>
      <c r="B4353" t="s">
        <v>366</v>
      </c>
    </row>
    <row r="4354" spans="1:2" x14ac:dyDescent="0.3">
      <c r="A4354" t="s">
        <v>2827</v>
      </c>
      <c r="B4354" t="s">
        <v>366</v>
      </c>
    </row>
    <row r="4355" spans="1:2" x14ac:dyDescent="0.3">
      <c r="A4355" t="s">
        <v>4232</v>
      </c>
      <c r="B4355" t="s">
        <v>151</v>
      </c>
    </row>
    <row r="4356" spans="1:2" x14ac:dyDescent="0.3">
      <c r="A4356" t="s">
        <v>4229</v>
      </c>
      <c r="B4356" t="s">
        <v>4023</v>
      </c>
    </row>
    <row r="4357" spans="1:2" x14ac:dyDescent="0.3">
      <c r="A4357" t="s">
        <v>1807</v>
      </c>
    </row>
    <row r="4358" spans="1:2" x14ac:dyDescent="0.3">
      <c r="A4358" t="s">
        <v>4156</v>
      </c>
      <c r="B4358" t="s">
        <v>151</v>
      </c>
    </row>
    <row r="4359" spans="1:2" x14ac:dyDescent="0.3">
      <c r="A4359" t="s">
        <v>3227</v>
      </c>
      <c r="B4359" t="s">
        <v>3228</v>
      </c>
    </row>
    <row r="4360" spans="1:2" x14ac:dyDescent="0.3">
      <c r="A4360" t="s">
        <v>2138</v>
      </c>
    </row>
    <row r="4361" spans="1:2" x14ac:dyDescent="0.3">
      <c r="A4361" t="s">
        <v>4581</v>
      </c>
      <c r="B4361" t="s">
        <v>116</v>
      </c>
    </row>
    <row r="4362" spans="1:2" x14ac:dyDescent="0.3">
      <c r="A4362" t="s">
        <v>2696</v>
      </c>
      <c r="B4362" t="s">
        <v>1746</v>
      </c>
    </row>
    <row r="4363" spans="1:2" x14ac:dyDescent="0.3">
      <c r="A4363" t="s">
        <v>1494</v>
      </c>
      <c r="B4363" t="s">
        <v>1495</v>
      </c>
    </row>
    <row r="4364" spans="1:2" x14ac:dyDescent="0.3">
      <c r="A4364" t="s">
        <v>2874</v>
      </c>
      <c r="B4364" t="s">
        <v>2875</v>
      </c>
    </row>
    <row r="4365" spans="1:2" x14ac:dyDescent="0.3">
      <c r="A4365" t="s">
        <v>2229</v>
      </c>
      <c r="B4365" t="s">
        <v>1289</v>
      </c>
    </row>
    <row r="4366" spans="1:2" x14ac:dyDescent="0.3">
      <c r="A4366" t="s">
        <v>2425</v>
      </c>
      <c r="B4366" t="s">
        <v>246</v>
      </c>
    </row>
    <row r="4367" spans="1:2" x14ac:dyDescent="0.3">
      <c r="A4367" t="s">
        <v>3767</v>
      </c>
      <c r="B4367" t="s">
        <v>246</v>
      </c>
    </row>
    <row r="4368" spans="1:2" x14ac:dyDescent="0.3">
      <c r="A4368" t="s">
        <v>2715</v>
      </c>
      <c r="B4368" t="s">
        <v>246</v>
      </c>
    </row>
    <row r="4369" spans="1:2" x14ac:dyDescent="0.3">
      <c r="A4369" t="s">
        <v>1918</v>
      </c>
      <c r="B4369" t="s">
        <v>353</v>
      </c>
    </row>
    <row r="4370" spans="1:2" x14ac:dyDescent="0.3">
      <c r="A4370" t="s">
        <v>1785</v>
      </c>
      <c r="B4370" t="s">
        <v>363</v>
      </c>
    </row>
    <row r="4371" spans="1:2" x14ac:dyDescent="0.3">
      <c r="A4371" t="s">
        <v>3516</v>
      </c>
      <c r="B4371" t="s">
        <v>353</v>
      </c>
    </row>
    <row r="4372" spans="1:2" x14ac:dyDescent="0.3">
      <c r="A4372" t="s">
        <v>3370</v>
      </c>
      <c r="B4372" t="s">
        <v>353</v>
      </c>
    </row>
    <row r="4373" spans="1:2" x14ac:dyDescent="0.3">
      <c r="A4373" t="s">
        <v>1919</v>
      </c>
      <c r="B4373" t="s">
        <v>220</v>
      </c>
    </row>
    <row r="4374" spans="1:2" x14ac:dyDescent="0.3">
      <c r="A4374" t="s">
        <v>2426</v>
      </c>
      <c r="B4374" t="s">
        <v>363</v>
      </c>
    </row>
    <row r="4375" spans="1:2" x14ac:dyDescent="0.3">
      <c r="A4375" t="s">
        <v>4453</v>
      </c>
      <c r="B4375" t="s">
        <v>366</v>
      </c>
    </row>
    <row r="4376" spans="1:2" x14ac:dyDescent="0.3">
      <c r="A4376" t="s">
        <v>1247</v>
      </c>
      <c r="B4376" t="s">
        <v>246</v>
      </c>
    </row>
    <row r="4377" spans="1:2" x14ac:dyDescent="0.3">
      <c r="A4377" t="s">
        <v>369</v>
      </c>
      <c r="B4377" t="s">
        <v>370</v>
      </c>
    </row>
    <row r="4378" spans="1:2" x14ac:dyDescent="0.3">
      <c r="A4378" t="s">
        <v>4680</v>
      </c>
      <c r="B4378" t="s">
        <v>366</v>
      </c>
    </row>
    <row r="4379" spans="1:2" x14ac:dyDescent="0.3">
      <c r="A4379" t="s">
        <v>2184</v>
      </c>
      <c r="B4379" t="s">
        <v>568</v>
      </c>
    </row>
    <row r="4380" spans="1:2" x14ac:dyDescent="0.3">
      <c r="A4380" t="s">
        <v>2135</v>
      </c>
      <c r="B4380" t="s">
        <v>568</v>
      </c>
    </row>
    <row r="4381" spans="1:2" x14ac:dyDescent="0.3">
      <c r="A4381" t="s">
        <v>2129</v>
      </c>
      <c r="B4381" t="s">
        <v>2130</v>
      </c>
    </row>
    <row r="4382" spans="1:2" x14ac:dyDescent="0.3">
      <c r="A4382" t="s">
        <v>2176</v>
      </c>
      <c r="B4382" t="s">
        <v>568</v>
      </c>
    </row>
    <row r="4383" spans="1:2" x14ac:dyDescent="0.3">
      <c r="A4383" t="s">
        <v>2177</v>
      </c>
      <c r="B4383" t="s">
        <v>568</v>
      </c>
    </row>
    <row r="4384" spans="1:2" x14ac:dyDescent="0.3">
      <c r="A4384" t="s">
        <v>2136</v>
      </c>
      <c r="B4384" t="s">
        <v>568</v>
      </c>
    </row>
    <row r="4385" spans="1:2" x14ac:dyDescent="0.3">
      <c r="A4385" t="s">
        <v>2126</v>
      </c>
      <c r="B4385" t="s">
        <v>568</v>
      </c>
    </row>
    <row r="4386" spans="1:2" x14ac:dyDescent="0.3">
      <c r="A4386" t="s">
        <v>2128</v>
      </c>
      <c r="B4386" t="s">
        <v>568</v>
      </c>
    </row>
    <row r="4387" spans="1:2" x14ac:dyDescent="0.3">
      <c r="A4387" t="s">
        <v>2127</v>
      </c>
      <c r="B4387" t="s">
        <v>568</v>
      </c>
    </row>
    <row r="4388" spans="1:2" x14ac:dyDescent="0.3">
      <c r="A4388" t="s">
        <v>4500</v>
      </c>
      <c r="B4388" t="s">
        <v>568</v>
      </c>
    </row>
    <row r="4389" spans="1:2" x14ac:dyDescent="0.3">
      <c r="A4389" t="s">
        <v>4501</v>
      </c>
      <c r="B4389" t="s">
        <v>568</v>
      </c>
    </row>
    <row r="4390" spans="1:2" x14ac:dyDescent="0.3">
      <c r="A4390" t="s">
        <v>3406</v>
      </c>
      <c r="B4390" t="s">
        <v>3407</v>
      </c>
    </row>
    <row r="4391" spans="1:2" x14ac:dyDescent="0.3">
      <c r="A4391" t="s">
        <v>3404</v>
      </c>
      <c r="B4391" t="s">
        <v>3405</v>
      </c>
    </row>
    <row r="4392" spans="1:2" x14ac:dyDescent="0.3">
      <c r="A4392" t="s">
        <v>4808</v>
      </c>
      <c r="B4392" t="s">
        <v>568</v>
      </c>
    </row>
    <row r="4393" spans="1:2" x14ac:dyDescent="0.3">
      <c r="A4393" t="s">
        <v>2962</v>
      </c>
      <c r="B4393" t="s">
        <v>2130</v>
      </c>
    </row>
    <row r="4394" spans="1:2" x14ac:dyDescent="0.3">
      <c r="A4394" t="s">
        <v>2131</v>
      </c>
      <c r="B4394" t="s">
        <v>568</v>
      </c>
    </row>
    <row r="4395" spans="1:2" x14ac:dyDescent="0.3">
      <c r="A4395" t="s">
        <v>3977</v>
      </c>
      <c r="B4395" t="s">
        <v>568</v>
      </c>
    </row>
    <row r="4396" spans="1:2" x14ac:dyDescent="0.3">
      <c r="A4396" t="s">
        <v>2178</v>
      </c>
      <c r="B4396" t="s">
        <v>568</v>
      </c>
    </row>
    <row r="4397" spans="1:2" x14ac:dyDescent="0.3">
      <c r="A4397" t="s">
        <v>2179</v>
      </c>
      <c r="B4397" t="s">
        <v>568</v>
      </c>
    </row>
    <row r="4398" spans="1:2" x14ac:dyDescent="0.3">
      <c r="A4398" t="s">
        <v>4498</v>
      </c>
      <c r="B4398" t="s">
        <v>568</v>
      </c>
    </row>
    <row r="4399" spans="1:2" x14ac:dyDescent="0.3">
      <c r="A4399" t="s">
        <v>4499</v>
      </c>
      <c r="B4399" t="s">
        <v>568</v>
      </c>
    </row>
    <row r="4400" spans="1:2" x14ac:dyDescent="0.3">
      <c r="A4400" t="s">
        <v>4567</v>
      </c>
      <c r="B4400" t="s">
        <v>4568</v>
      </c>
    </row>
    <row r="4401" spans="1:2" x14ac:dyDescent="0.3">
      <c r="A4401" t="s">
        <v>4454</v>
      </c>
      <c r="B4401" t="s">
        <v>4455</v>
      </c>
    </row>
    <row r="4402" spans="1:2" x14ac:dyDescent="0.3">
      <c r="A4402" t="s">
        <v>3936</v>
      </c>
      <c r="B4402" t="s">
        <v>568</v>
      </c>
    </row>
    <row r="4403" spans="1:2" x14ac:dyDescent="0.3">
      <c r="A4403" t="s">
        <v>4749</v>
      </c>
      <c r="B4403" t="s">
        <v>4568</v>
      </c>
    </row>
    <row r="4404" spans="1:2" x14ac:dyDescent="0.3">
      <c r="A4404" t="s">
        <v>3746</v>
      </c>
      <c r="B4404" t="s">
        <v>129</v>
      </c>
    </row>
    <row r="4405" spans="1:2" x14ac:dyDescent="0.3">
      <c r="A4405" t="s">
        <v>2349</v>
      </c>
      <c r="B4405" t="s">
        <v>2350</v>
      </c>
    </row>
    <row r="4406" spans="1:2" x14ac:dyDescent="0.3">
      <c r="A4406" t="s">
        <v>2351</v>
      </c>
      <c r="B4406" t="s">
        <v>2350</v>
      </c>
    </row>
    <row r="4407" spans="1:2" x14ac:dyDescent="0.3">
      <c r="A4407" t="s">
        <v>1697</v>
      </c>
      <c r="B4407" t="s">
        <v>1698</v>
      </c>
    </row>
    <row r="4408" spans="1:2" x14ac:dyDescent="0.3">
      <c r="A4408" t="s">
        <v>3182</v>
      </c>
      <c r="B4408" t="s">
        <v>3183</v>
      </c>
    </row>
    <row r="4409" spans="1:2" x14ac:dyDescent="0.3">
      <c r="A4409" t="s">
        <v>164</v>
      </c>
      <c r="B4409" t="s">
        <v>165</v>
      </c>
    </row>
    <row r="4410" spans="1:2" x14ac:dyDescent="0.3">
      <c r="A4410" t="s">
        <v>677</v>
      </c>
    </row>
    <row r="4411" spans="1:2" x14ac:dyDescent="0.3">
      <c r="A4411" t="s">
        <v>1952</v>
      </c>
      <c r="B4411" t="s">
        <v>1491</v>
      </c>
    </row>
    <row r="4412" spans="1:2" x14ac:dyDescent="0.3">
      <c r="A4412" t="s">
        <v>678</v>
      </c>
    </row>
    <row r="4413" spans="1:2" x14ac:dyDescent="0.3">
      <c r="A4413" t="s">
        <v>3617</v>
      </c>
      <c r="B4413" t="s">
        <v>264</v>
      </c>
    </row>
    <row r="4414" spans="1:2" x14ac:dyDescent="0.3">
      <c r="A4414" t="s">
        <v>1991</v>
      </c>
      <c r="B4414" t="s">
        <v>1992</v>
      </c>
    </row>
    <row r="4415" spans="1:2" x14ac:dyDescent="0.3">
      <c r="A4415" t="s">
        <v>1720</v>
      </c>
    </row>
    <row r="4416" spans="1:2" x14ac:dyDescent="0.3">
      <c r="A4416" t="s">
        <v>3184</v>
      </c>
      <c r="B4416" t="s">
        <v>1698</v>
      </c>
    </row>
    <row r="4417" spans="1:2" x14ac:dyDescent="0.3">
      <c r="A4417" t="s">
        <v>3185</v>
      </c>
      <c r="B4417" t="s">
        <v>165</v>
      </c>
    </row>
    <row r="4418" spans="1:2" x14ac:dyDescent="0.3">
      <c r="A4418" t="s">
        <v>4157</v>
      </c>
      <c r="B4418" t="s">
        <v>4158</v>
      </c>
    </row>
    <row r="4419" spans="1:2" x14ac:dyDescent="0.3">
      <c r="A4419" t="s">
        <v>4141</v>
      </c>
      <c r="B4419" t="s">
        <v>1491</v>
      </c>
    </row>
    <row r="4420" spans="1:2" x14ac:dyDescent="0.3">
      <c r="A4420" t="s">
        <v>2352</v>
      </c>
      <c r="B4420" t="s">
        <v>246</v>
      </c>
    </row>
    <row r="4421" spans="1:2" x14ac:dyDescent="0.3">
      <c r="A4421" t="s">
        <v>2877</v>
      </c>
      <c r="B4421" t="s">
        <v>246</v>
      </c>
    </row>
    <row r="4422" spans="1:2" x14ac:dyDescent="0.3">
      <c r="A4422" t="s">
        <v>1397</v>
      </c>
      <c r="B4422" t="s">
        <v>1398</v>
      </c>
    </row>
    <row r="4423" spans="1:2" x14ac:dyDescent="0.3">
      <c r="A4423" t="s">
        <v>1402</v>
      </c>
      <c r="B4423" t="s">
        <v>246</v>
      </c>
    </row>
    <row r="4424" spans="1:2" x14ac:dyDescent="0.3">
      <c r="A4424" t="s">
        <v>2353</v>
      </c>
      <c r="B4424" t="s">
        <v>246</v>
      </c>
    </row>
    <row r="4425" spans="1:2" x14ac:dyDescent="0.3">
      <c r="A4425" t="s">
        <v>2427</v>
      </c>
      <c r="B4425" t="s">
        <v>2428</v>
      </c>
    </row>
    <row r="4426" spans="1:2" x14ac:dyDescent="0.3">
      <c r="A4426" t="s">
        <v>2429</v>
      </c>
      <c r="B4426" t="s">
        <v>2430</v>
      </c>
    </row>
    <row r="4427" spans="1:2" x14ac:dyDescent="0.3">
      <c r="A4427" t="s">
        <v>1842</v>
      </c>
      <c r="B4427" t="s">
        <v>1843</v>
      </c>
    </row>
    <row r="4428" spans="1:2" x14ac:dyDescent="0.3">
      <c r="A4428" t="s">
        <v>3168</v>
      </c>
      <c r="B4428" t="s">
        <v>1081</v>
      </c>
    </row>
    <row r="4429" spans="1:2" x14ac:dyDescent="0.3">
      <c r="A4429" t="s">
        <v>3997</v>
      </c>
      <c r="B4429" t="s">
        <v>3998</v>
      </c>
    </row>
    <row r="4430" spans="1:2" x14ac:dyDescent="0.3">
      <c r="A4430" t="s">
        <v>2431</v>
      </c>
      <c r="B4430" t="s">
        <v>246</v>
      </c>
    </row>
    <row r="4431" spans="1:2" x14ac:dyDescent="0.3">
      <c r="A4431" t="s">
        <v>2432</v>
      </c>
      <c r="B4431" t="s">
        <v>246</v>
      </c>
    </row>
    <row r="4432" spans="1:2" x14ac:dyDescent="0.3">
      <c r="A4432" t="s">
        <v>2354</v>
      </c>
      <c r="B4432" t="s">
        <v>246</v>
      </c>
    </row>
    <row r="4433" spans="1:2" x14ac:dyDescent="0.3">
      <c r="A4433" t="s">
        <v>1844</v>
      </c>
      <c r="B4433" t="s">
        <v>246</v>
      </c>
    </row>
    <row r="4434" spans="1:2" x14ac:dyDescent="0.3">
      <c r="A4434" t="s">
        <v>2355</v>
      </c>
      <c r="B4434" t="s">
        <v>2356</v>
      </c>
    </row>
    <row r="4435" spans="1:2" x14ac:dyDescent="0.3">
      <c r="A4435" t="s">
        <v>1943</v>
      </c>
      <c r="B4435" t="s">
        <v>1944</v>
      </c>
    </row>
    <row r="4436" spans="1:2" x14ac:dyDescent="0.3">
      <c r="A4436" t="s">
        <v>2433</v>
      </c>
      <c r="B4436" t="s">
        <v>246</v>
      </c>
    </row>
    <row r="4437" spans="1:2" x14ac:dyDescent="0.3">
      <c r="A4437" t="s">
        <v>2357</v>
      </c>
      <c r="B4437" t="s">
        <v>246</v>
      </c>
    </row>
    <row r="4438" spans="1:2" x14ac:dyDescent="0.3">
      <c r="A4438" t="s">
        <v>2358</v>
      </c>
      <c r="B4438" t="s">
        <v>246</v>
      </c>
    </row>
    <row r="4439" spans="1:2" x14ac:dyDescent="0.3">
      <c r="A4439" t="s">
        <v>2192</v>
      </c>
      <c r="B4439" t="s">
        <v>2186</v>
      </c>
    </row>
    <row r="4440" spans="1:2" x14ac:dyDescent="0.3">
      <c r="A4440" t="s">
        <v>1670</v>
      </c>
      <c r="B4440" t="s">
        <v>1671</v>
      </c>
    </row>
    <row r="4441" spans="1:2" x14ac:dyDescent="0.3">
      <c r="A4441" t="s">
        <v>1679</v>
      </c>
      <c r="B4441" t="s">
        <v>1677</v>
      </c>
    </row>
    <row r="4442" spans="1:2" x14ac:dyDescent="0.3">
      <c r="A4442" t="s">
        <v>3580</v>
      </c>
      <c r="B4442" t="s">
        <v>246</v>
      </c>
    </row>
    <row r="4443" spans="1:2" x14ac:dyDescent="0.3">
      <c r="A4443" t="s">
        <v>1676</v>
      </c>
      <c r="B4443" t="s">
        <v>1677</v>
      </c>
    </row>
    <row r="4444" spans="1:2" x14ac:dyDescent="0.3">
      <c r="A4444" t="s">
        <v>4807</v>
      </c>
      <c r="B4444" t="s">
        <v>246</v>
      </c>
    </row>
    <row r="4445" spans="1:2" x14ac:dyDescent="0.3">
      <c r="A4445" t="s">
        <v>4392</v>
      </c>
      <c r="B4445" t="s">
        <v>116</v>
      </c>
    </row>
    <row r="4446" spans="1:2" x14ac:dyDescent="0.3">
      <c r="A4446" t="s">
        <v>3544</v>
      </c>
      <c r="B4446" t="s">
        <v>659</v>
      </c>
    </row>
    <row r="4447" spans="1:2" x14ac:dyDescent="0.3">
      <c r="A4447" t="s">
        <v>4391</v>
      </c>
      <c r="B4447" t="s">
        <v>116</v>
      </c>
    </row>
    <row r="4448" spans="1:2" x14ac:dyDescent="0.3">
      <c r="A4448" t="s">
        <v>2479</v>
      </c>
    </row>
    <row r="4449" spans="1:2" x14ac:dyDescent="0.3">
      <c r="A4449" t="s">
        <v>3364</v>
      </c>
      <c r="B4449" t="s">
        <v>2744</v>
      </c>
    </row>
    <row r="4450" spans="1:2" x14ac:dyDescent="0.3">
      <c r="A4450" t="s">
        <v>3804</v>
      </c>
      <c r="B4450" t="s">
        <v>2744</v>
      </c>
    </row>
    <row r="4451" spans="1:2" x14ac:dyDescent="0.3">
      <c r="A4451" t="s">
        <v>3520</v>
      </c>
      <c r="B4451" t="s">
        <v>363</v>
      </c>
    </row>
    <row r="4452" spans="1:2" x14ac:dyDescent="0.3">
      <c r="A4452" t="s">
        <v>2478</v>
      </c>
    </row>
    <row r="4453" spans="1:2" x14ac:dyDescent="0.3">
      <c r="A4453" t="s">
        <v>3883</v>
      </c>
      <c r="B4453" t="s">
        <v>353</v>
      </c>
    </row>
    <row r="4454" spans="1:2" x14ac:dyDescent="0.3">
      <c r="A4454" t="s">
        <v>2692</v>
      </c>
      <c r="B4454" t="s">
        <v>2693</v>
      </c>
    </row>
    <row r="4455" spans="1:2" x14ac:dyDescent="0.3">
      <c r="A4455" t="s">
        <v>4703</v>
      </c>
      <c r="B4455" t="s">
        <v>13</v>
      </c>
    </row>
    <row r="4456" spans="1:2" x14ac:dyDescent="0.3">
      <c r="A4456" t="s">
        <v>4775</v>
      </c>
      <c r="B4456" t="s">
        <v>13</v>
      </c>
    </row>
    <row r="4457" spans="1:2" x14ac:dyDescent="0.3">
      <c r="A4457" t="s">
        <v>2200</v>
      </c>
      <c r="B4457" t="s">
        <v>363</v>
      </c>
    </row>
    <row r="4458" spans="1:2" x14ac:dyDescent="0.3">
      <c r="A4458" t="s">
        <v>2073</v>
      </c>
      <c r="B4458" t="s">
        <v>36</v>
      </c>
    </row>
    <row r="4459" spans="1:2" x14ac:dyDescent="0.3">
      <c r="A4459" t="s">
        <v>2068</v>
      </c>
      <c r="B4459" t="s">
        <v>36</v>
      </c>
    </row>
    <row r="4460" spans="1:2" x14ac:dyDescent="0.3">
      <c r="A4460" t="s">
        <v>2069</v>
      </c>
      <c r="B4460" t="s">
        <v>36</v>
      </c>
    </row>
    <row r="4461" spans="1:2" x14ac:dyDescent="0.3">
      <c r="A4461" t="s">
        <v>2070</v>
      </c>
      <c r="B4461" t="s">
        <v>36</v>
      </c>
    </row>
    <row r="4462" spans="1:2" x14ac:dyDescent="0.3">
      <c r="A4462" t="s">
        <v>2071</v>
      </c>
      <c r="B4462" t="s">
        <v>36</v>
      </c>
    </row>
    <row r="4463" spans="1:2" x14ac:dyDescent="0.3">
      <c r="A4463" t="s">
        <v>2072</v>
      </c>
      <c r="B4463" t="s">
        <v>36</v>
      </c>
    </row>
    <row r="4464" spans="1:2" x14ac:dyDescent="0.3">
      <c r="A4464" t="s">
        <v>630</v>
      </c>
      <c r="B4464" t="s">
        <v>489</v>
      </c>
    </row>
    <row r="4465" spans="1:2" x14ac:dyDescent="0.3">
      <c r="A4465" t="s">
        <v>1619</v>
      </c>
      <c r="B4465" t="s">
        <v>22</v>
      </c>
    </row>
    <row r="4466" spans="1:2" x14ac:dyDescent="0.3">
      <c r="A4466" t="s">
        <v>476</v>
      </c>
      <c r="B4466" t="s">
        <v>477</v>
      </c>
    </row>
    <row r="4467" spans="1:2" x14ac:dyDescent="0.3">
      <c r="A4467" t="s">
        <v>3784</v>
      </c>
      <c r="B4467" t="s">
        <v>22</v>
      </c>
    </row>
    <row r="4468" spans="1:2" x14ac:dyDescent="0.3">
      <c r="A4468" t="s">
        <v>4734</v>
      </c>
      <c r="B4468" t="s">
        <v>22</v>
      </c>
    </row>
    <row r="4469" spans="1:2" x14ac:dyDescent="0.3">
      <c r="A4469" t="s">
        <v>2713</v>
      </c>
      <c r="B4469" t="s">
        <v>22</v>
      </c>
    </row>
    <row r="4470" spans="1:2" x14ac:dyDescent="0.3">
      <c r="A4470" t="s">
        <v>1460</v>
      </c>
      <c r="B4470" t="s">
        <v>22</v>
      </c>
    </row>
    <row r="4471" spans="1:2" x14ac:dyDescent="0.3">
      <c r="A4471" t="s">
        <v>3070</v>
      </c>
      <c r="B4471" t="s">
        <v>3071</v>
      </c>
    </row>
    <row r="4472" spans="1:2" x14ac:dyDescent="0.3">
      <c r="A4472" t="s">
        <v>3368</v>
      </c>
      <c r="B4472" t="s">
        <v>13</v>
      </c>
    </row>
    <row r="4473" spans="1:2" x14ac:dyDescent="0.3">
      <c r="A4473" t="s">
        <v>3778</v>
      </c>
      <c r="B4473" t="s">
        <v>13</v>
      </c>
    </row>
    <row r="4474" spans="1:2" x14ac:dyDescent="0.3">
      <c r="A4474" t="s">
        <v>4776</v>
      </c>
      <c r="B4474" t="s">
        <v>13</v>
      </c>
    </row>
    <row r="4475" spans="1:2" x14ac:dyDescent="0.3">
      <c r="A4475" t="s">
        <v>324</v>
      </c>
      <c r="B4475" t="s">
        <v>13</v>
      </c>
    </row>
    <row r="4476" spans="1:2" x14ac:dyDescent="0.3">
      <c r="A4476" t="s">
        <v>2602</v>
      </c>
      <c r="B4476" t="s">
        <v>136</v>
      </c>
    </row>
    <row r="4477" spans="1:2" x14ac:dyDescent="0.3">
      <c r="A4477" t="s">
        <v>2659</v>
      </c>
      <c r="B4477" t="s">
        <v>136</v>
      </c>
    </row>
    <row r="4478" spans="1:2" x14ac:dyDescent="0.3">
      <c r="A4478" t="s">
        <v>2690</v>
      </c>
      <c r="B4478" t="s">
        <v>136</v>
      </c>
    </row>
    <row r="4479" spans="1:2" x14ac:dyDescent="0.3">
      <c r="A4479" t="s">
        <v>1954</v>
      </c>
      <c r="B4479" t="s">
        <v>136</v>
      </c>
    </row>
    <row r="4480" spans="1:2" x14ac:dyDescent="0.3">
      <c r="A4480" t="s">
        <v>3980</v>
      </c>
      <c r="B4480" t="s">
        <v>13</v>
      </c>
    </row>
    <row r="4481" spans="1:2" x14ac:dyDescent="0.3">
      <c r="A4481" t="s">
        <v>4605</v>
      </c>
      <c r="B4481" t="s">
        <v>13</v>
      </c>
    </row>
    <row r="4482" spans="1:2" x14ac:dyDescent="0.3">
      <c r="A4482" t="s">
        <v>2146</v>
      </c>
      <c r="B4482" t="s">
        <v>912</v>
      </c>
    </row>
    <row r="4483" spans="1:2" x14ac:dyDescent="0.3">
      <c r="A4483" t="s">
        <v>557</v>
      </c>
      <c r="B4483" t="s">
        <v>558</v>
      </c>
    </row>
    <row r="4484" spans="1:2" x14ac:dyDescent="0.3">
      <c r="A4484" t="s">
        <v>559</v>
      </c>
      <c r="B4484" t="s">
        <v>372</v>
      </c>
    </row>
    <row r="4485" spans="1:2" x14ac:dyDescent="0.3">
      <c r="A4485" t="s">
        <v>2434</v>
      </c>
      <c r="B4485" t="s">
        <v>2435</v>
      </c>
    </row>
    <row r="4486" spans="1:2" x14ac:dyDescent="0.3">
      <c r="A4486" t="s">
        <v>3949</v>
      </c>
      <c r="B4486" t="s">
        <v>912</v>
      </c>
    </row>
    <row r="4487" spans="1:2" x14ac:dyDescent="0.3">
      <c r="A4487" t="s">
        <v>2494</v>
      </c>
      <c r="B4487" t="s">
        <v>2435</v>
      </c>
    </row>
    <row r="4488" spans="1:2" x14ac:dyDescent="0.3">
      <c r="A4488" t="s">
        <v>1614</v>
      </c>
      <c r="B4488" t="s">
        <v>366</v>
      </c>
    </row>
    <row r="4489" spans="1:2" x14ac:dyDescent="0.3">
      <c r="A4489" t="s">
        <v>562</v>
      </c>
      <c r="B4489" t="s">
        <v>366</v>
      </c>
    </row>
    <row r="4490" spans="1:2" x14ac:dyDescent="0.3">
      <c r="A4490" t="s">
        <v>1744</v>
      </c>
      <c r="B4490" t="s">
        <v>366</v>
      </c>
    </row>
    <row r="4491" spans="1:2" x14ac:dyDescent="0.3">
      <c r="A4491" t="s">
        <v>4207</v>
      </c>
      <c r="B4491" t="s">
        <v>372</v>
      </c>
    </row>
    <row r="4492" spans="1:2" x14ac:dyDescent="0.3">
      <c r="A4492" t="s">
        <v>563</v>
      </c>
      <c r="B4492" t="s">
        <v>558</v>
      </c>
    </row>
    <row r="4493" spans="1:2" x14ac:dyDescent="0.3">
      <c r="A4493" t="s">
        <v>3756</v>
      </c>
      <c r="B4493" t="s">
        <v>558</v>
      </c>
    </row>
    <row r="4494" spans="1:2" x14ac:dyDescent="0.3">
      <c r="A4494" t="s">
        <v>564</v>
      </c>
      <c r="B4494" t="s">
        <v>372</v>
      </c>
    </row>
    <row r="4495" spans="1:2" x14ac:dyDescent="0.3">
      <c r="A4495" t="s">
        <v>371</v>
      </c>
      <c r="B4495" t="s">
        <v>372</v>
      </c>
    </row>
    <row r="4496" spans="1:2" x14ac:dyDescent="0.3">
      <c r="A4496" t="s">
        <v>2839</v>
      </c>
      <c r="B4496" t="s">
        <v>366</v>
      </c>
    </row>
    <row r="4497" spans="1:2" x14ac:dyDescent="0.3">
      <c r="A4497" t="s">
        <v>560</v>
      </c>
      <c r="B4497" t="s">
        <v>561</v>
      </c>
    </row>
    <row r="4498" spans="1:2" x14ac:dyDescent="0.3">
      <c r="A4498" t="s">
        <v>1482</v>
      </c>
      <c r="B4498" t="s">
        <v>558</v>
      </c>
    </row>
    <row r="4499" spans="1:2" x14ac:dyDescent="0.3">
      <c r="A4499" t="s">
        <v>565</v>
      </c>
      <c r="B4499" t="s">
        <v>366</v>
      </c>
    </row>
    <row r="4500" spans="1:2" x14ac:dyDescent="0.3">
      <c r="A4500" t="s">
        <v>3361</v>
      </c>
      <c r="B4500" t="s">
        <v>3362</v>
      </c>
    </row>
    <row r="4501" spans="1:2" x14ac:dyDescent="0.3">
      <c r="A4501" t="s">
        <v>1650</v>
      </c>
      <c r="B4501" t="s">
        <v>116</v>
      </c>
    </row>
    <row r="4502" spans="1:2" x14ac:dyDescent="0.3">
      <c r="A4502" t="s">
        <v>4340</v>
      </c>
      <c r="B4502" t="s">
        <v>116</v>
      </c>
    </row>
    <row r="4503" spans="1:2" x14ac:dyDescent="0.3">
      <c r="A4503" t="s">
        <v>2517</v>
      </c>
      <c r="B4503" t="s">
        <v>116</v>
      </c>
    </row>
    <row r="4504" spans="1:2" x14ac:dyDescent="0.3">
      <c r="A4504" t="s">
        <v>1561</v>
      </c>
      <c r="B4504" t="s">
        <v>1562</v>
      </c>
    </row>
    <row r="4505" spans="1:2" x14ac:dyDescent="0.3">
      <c r="A4505" t="s">
        <v>2005</v>
      </c>
      <c r="B4505" t="s">
        <v>116</v>
      </c>
    </row>
    <row r="4506" spans="1:2" x14ac:dyDescent="0.3">
      <c r="A4506" t="s">
        <v>3803</v>
      </c>
      <c r="B4506" t="s">
        <v>363</v>
      </c>
    </row>
    <row r="4507" spans="1:2" x14ac:dyDescent="0.3">
      <c r="A4507" t="s">
        <v>3190</v>
      </c>
      <c r="B4507" t="s">
        <v>116</v>
      </c>
    </row>
    <row r="4508" spans="1:2" x14ac:dyDescent="0.3">
      <c r="A4508" t="s">
        <v>4615</v>
      </c>
      <c r="B4508" t="s">
        <v>116</v>
      </c>
    </row>
    <row r="4509" spans="1:2" x14ac:dyDescent="0.3">
      <c r="A4509" t="s">
        <v>3847</v>
      </c>
      <c r="B4509" t="s">
        <v>363</v>
      </c>
    </row>
    <row r="4510" spans="1:2" x14ac:dyDescent="0.3">
      <c r="A4510" t="s">
        <v>3848</v>
      </c>
      <c r="B4510" t="s">
        <v>363</v>
      </c>
    </row>
    <row r="4511" spans="1:2" x14ac:dyDescent="0.3">
      <c r="A4511" t="s">
        <v>1680</v>
      </c>
      <c r="B4511" t="s">
        <v>1681</v>
      </c>
    </row>
    <row r="4512" spans="1:2" x14ac:dyDescent="0.3">
      <c r="A4512" t="s">
        <v>1672</v>
      </c>
      <c r="B4512" t="s">
        <v>1673</v>
      </c>
    </row>
    <row r="4513" spans="1:2" x14ac:dyDescent="0.3">
      <c r="A4513" t="s">
        <v>3480</v>
      </c>
      <c r="B4513" t="s">
        <v>3481</v>
      </c>
    </row>
    <row r="4514" spans="1:2" x14ac:dyDescent="0.3">
      <c r="A4514" t="s">
        <v>3683</v>
      </c>
      <c r="B4514" t="s">
        <v>11</v>
      </c>
    </row>
    <row r="4515" spans="1:2" x14ac:dyDescent="0.3">
      <c r="A4515" t="s">
        <v>4780</v>
      </c>
      <c r="B4515" t="s">
        <v>4140</v>
      </c>
    </row>
    <row r="4516" spans="1:2" x14ac:dyDescent="0.3">
      <c r="A4516" t="s">
        <v>3684</v>
      </c>
      <c r="B4516" t="s">
        <v>11</v>
      </c>
    </row>
    <row r="4517" spans="1:2" x14ac:dyDescent="0.3">
      <c r="A4517" t="s">
        <v>3236</v>
      </c>
      <c r="B4517" t="s">
        <v>11</v>
      </c>
    </row>
    <row r="4518" spans="1:2" x14ac:dyDescent="0.3">
      <c r="A4518" t="s">
        <v>113</v>
      </c>
      <c r="B4518" t="s">
        <v>36</v>
      </c>
    </row>
    <row r="4519" spans="1:2" x14ac:dyDescent="0.3">
      <c r="A4519" t="s">
        <v>199</v>
      </c>
      <c r="B4519" t="s">
        <v>175</v>
      </c>
    </row>
    <row r="4520" spans="1:2" x14ac:dyDescent="0.3">
      <c r="A4520" t="s">
        <v>3862</v>
      </c>
      <c r="B4520" t="s">
        <v>13</v>
      </c>
    </row>
    <row r="4521" spans="1:2" x14ac:dyDescent="0.3">
      <c r="A4521" t="s">
        <v>2623</v>
      </c>
      <c r="B4521" t="s">
        <v>13</v>
      </c>
    </row>
    <row r="4522" spans="1:2" x14ac:dyDescent="0.3">
      <c r="A4522" t="s">
        <v>2074</v>
      </c>
      <c r="B4522" t="s">
        <v>36</v>
      </c>
    </row>
    <row r="4523" spans="1:2" x14ac:dyDescent="0.3">
      <c r="A4523" t="s">
        <v>4512</v>
      </c>
      <c r="B4523" t="s">
        <v>116</v>
      </c>
    </row>
    <row r="4524" spans="1:2" x14ac:dyDescent="0.3">
      <c r="A4524" t="s">
        <v>4513</v>
      </c>
      <c r="B4524" t="s">
        <v>116</v>
      </c>
    </row>
    <row r="4525" spans="1:2" x14ac:dyDescent="0.3">
      <c r="A4525" t="s">
        <v>2937</v>
      </c>
      <c r="B4525" t="s">
        <v>116</v>
      </c>
    </row>
    <row r="4526" spans="1:2" x14ac:dyDescent="0.3">
      <c r="A4526" t="s">
        <v>1674</v>
      </c>
      <c r="B4526" t="s">
        <v>1675</v>
      </c>
    </row>
    <row r="4527" spans="1:2" x14ac:dyDescent="0.3">
      <c r="A4527" t="s">
        <v>1387</v>
      </c>
      <c r="B4527" t="s">
        <v>1388</v>
      </c>
    </row>
    <row r="4528" spans="1:2" x14ac:dyDescent="0.3">
      <c r="A4528" t="s">
        <v>4228</v>
      </c>
      <c r="B4528" t="s">
        <v>116</v>
      </c>
    </row>
    <row r="4529" spans="1:2" x14ac:dyDescent="0.3">
      <c r="A4529" t="s">
        <v>4782</v>
      </c>
      <c r="B4529" t="s">
        <v>116</v>
      </c>
    </row>
    <row r="4530" spans="1:2" x14ac:dyDescent="0.3">
      <c r="A4530" t="s">
        <v>4639</v>
      </c>
      <c r="B4530" t="s">
        <v>336</v>
      </c>
    </row>
    <row r="4531" spans="1:2" x14ac:dyDescent="0.3">
      <c r="A4531" t="s">
        <v>2707</v>
      </c>
      <c r="B4531" t="s">
        <v>132</v>
      </c>
    </row>
    <row r="4532" spans="1:2" x14ac:dyDescent="0.3">
      <c r="A4532" t="s">
        <v>2533</v>
      </c>
      <c r="B4532" t="s">
        <v>2534</v>
      </c>
    </row>
    <row r="4533" spans="1:2" x14ac:dyDescent="0.3">
      <c r="A4533" t="s">
        <v>2578</v>
      </c>
      <c r="B4533" t="s">
        <v>2579</v>
      </c>
    </row>
    <row r="4534" spans="1:2" x14ac:dyDescent="0.3">
      <c r="A4534" t="s">
        <v>2531</v>
      </c>
      <c r="B4534" t="s">
        <v>2532</v>
      </c>
    </row>
    <row r="4535" spans="1:2" x14ac:dyDescent="0.3">
      <c r="A4535" t="s">
        <v>2537</v>
      </c>
      <c r="B4535" t="s">
        <v>1554</v>
      </c>
    </row>
    <row r="4536" spans="1:2" x14ac:dyDescent="0.3">
      <c r="A4536" t="s">
        <v>2535</v>
      </c>
      <c r="B4536" t="s">
        <v>2536</v>
      </c>
    </row>
    <row r="4537" spans="1:2" x14ac:dyDescent="0.3">
      <c r="A4537" t="s">
        <v>2538</v>
      </c>
      <c r="B4537" t="s">
        <v>1554</v>
      </c>
    </row>
    <row r="4538" spans="1:2" x14ac:dyDescent="0.3">
      <c r="A4538" t="s">
        <v>3618</v>
      </c>
      <c r="B4538" t="s">
        <v>13</v>
      </c>
    </row>
    <row r="4539" spans="1:2" x14ac:dyDescent="0.3">
      <c r="A4539" t="s">
        <v>1747</v>
      </c>
      <c r="B4539" t="s">
        <v>13</v>
      </c>
    </row>
    <row r="4540" spans="1:2" x14ac:dyDescent="0.3">
      <c r="A4540" t="s">
        <v>4736</v>
      </c>
      <c r="B4540" t="s">
        <v>22</v>
      </c>
    </row>
    <row r="4541" spans="1:2" x14ac:dyDescent="0.3">
      <c r="A4541" t="s">
        <v>1461</v>
      </c>
      <c r="B4541" t="s">
        <v>1462</v>
      </c>
    </row>
    <row r="4542" spans="1:2" x14ac:dyDescent="0.3">
      <c r="A4542" t="s">
        <v>4572</v>
      </c>
      <c r="B4542" t="s">
        <v>175</v>
      </c>
    </row>
    <row r="4543" spans="1:2" x14ac:dyDescent="0.3">
      <c r="A4543" t="s">
        <v>89</v>
      </c>
    </row>
    <row r="4544" spans="1:2" x14ac:dyDescent="0.3">
      <c r="A4544" t="s">
        <v>157</v>
      </c>
      <c r="B4544" t="s">
        <v>22</v>
      </c>
    </row>
    <row r="4545" spans="1:2" x14ac:dyDescent="0.3">
      <c r="A4545" t="s">
        <v>87</v>
      </c>
    </row>
    <row r="4546" spans="1:2" x14ac:dyDescent="0.3">
      <c r="A4546" t="s">
        <v>156</v>
      </c>
      <c r="B4546" t="s">
        <v>22</v>
      </c>
    </row>
    <row r="4547" spans="1:2" x14ac:dyDescent="0.3">
      <c r="A4547" t="s">
        <v>155</v>
      </c>
      <c r="B4547" t="s">
        <v>22</v>
      </c>
    </row>
    <row r="4548" spans="1:2" x14ac:dyDescent="0.3">
      <c r="A4548" t="s">
        <v>85</v>
      </c>
    </row>
    <row r="4549" spans="1:2" x14ac:dyDescent="0.3">
      <c r="A4549" t="s">
        <v>25</v>
      </c>
      <c r="B4549" t="s">
        <v>22</v>
      </c>
    </row>
    <row r="4550" spans="1:2" x14ac:dyDescent="0.3">
      <c r="A4550" t="s">
        <v>17</v>
      </c>
      <c r="B4550" t="s">
        <v>18</v>
      </c>
    </row>
    <row r="4551" spans="1:2" x14ac:dyDescent="0.3">
      <c r="A4551" t="s">
        <v>90</v>
      </c>
    </row>
    <row r="4552" spans="1:2" x14ac:dyDescent="0.3">
      <c r="A4552" t="s">
        <v>88</v>
      </c>
    </row>
    <row r="4553" spans="1:2" x14ac:dyDescent="0.3">
      <c r="A4553" t="s">
        <v>21</v>
      </c>
      <c r="B4553" t="s">
        <v>22</v>
      </c>
    </row>
    <row r="4554" spans="1:2" x14ac:dyDescent="0.3">
      <c r="A4554" t="s">
        <v>86</v>
      </c>
    </row>
    <row r="4555" spans="1:2" x14ac:dyDescent="0.3">
      <c r="A4555" t="s">
        <v>30</v>
      </c>
      <c r="B4555" t="s">
        <v>18</v>
      </c>
    </row>
    <row r="4556" spans="1:2" x14ac:dyDescent="0.3">
      <c r="A4556" t="s">
        <v>27</v>
      </c>
      <c r="B4556" t="s">
        <v>22</v>
      </c>
    </row>
    <row r="4557" spans="1:2" x14ac:dyDescent="0.3">
      <c r="A4557" t="s">
        <v>31</v>
      </c>
      <c r="B4557" t="s">
        <v>22</v>
      </c>
    </row>
    <row r="4558" spans="1:2" x14ac:dyDescent="0.3">
      <c r="A4558" t="s">
        <v>435</v>
      </c>
      <c r="B4558" t="s">
        <v>22</v>
      </c>
    </row>
    <row r="4559" spans="1:2" x14ac:dyDescent="0.3">
      <c r="A4559" t="s">
        <v>4732</v>
      </c>
      <c r="B4559" t="s">
        <v>22</v>
      </c>
    </row>
    <row r="4560" spans="1:2" x14ac:dyDescent="0.3">
      <c r="A4560" t="s">
        <v>250</v>
      </c>
      <c r="B4560" t="s">
        <v>22</v>
      </c>
    </row>
    <row r="4561" spans="1:2" x14ac:dyDescent="0.3">
      <c r="A4561" t="s">
        <v>690</v>
      </c>
    </row>
    <row r="4562" spans="1:2" x14ac:dyDescent="0.3">
      <c r="A4562" t="s">
        <v>1647</v>
      </c>
      <c r="B4562" t="s">
        <v>18</v>
      </c>
    </row>
    <row r="4563" spans="1:2" x14ac:dyDescent="0.3">
      <c r="A4563" t="s">
        <v>4578</v>
      </c>
      <c r="B4563" t="s">
        <v>18</v>
      </c>
    </row>
    <row r="4564" spans="1:2" x14ac:dyDescent="0.3">
      <c r="A4564" t="s">
        <v>434</v>
      </c>
      <c r="B4564" t="s">
        <v>22</v>
      </c>
    </row>
    <row r="4565" spans="1:2" x14ac:dyDescent="0.3">
      <c r="A4565" t="s">
        <v>681</v>
      </c>
      <c r="B4565" t="s">
        <v>22</v>
      </c>
    </row>
    <row r="4566" spans="1:2" x14ac:dyDescent="0.3">
      <c r="A4566" t="s">
        <v>4733</v>
      </c>
      <c r="B4566" t="s">
        <v>22</v>
      </c>
    </row>
    <row r="4567" spans="1:2" x14ac:dyDescent="0.3">
      <c r="A4567" t="s">
        <v>436</v>
      </c>
      <c r="B4567" t="s">
        <v>108</v>
      </c>
    </row>
    <row r="4568" spans="1:2" x14ac:dyDescent="0.3">
      <c r="A4568" t="s">
        <v>3598</v>
      </c>
      <c r="B4568" t="s">
        <v>22</v>
      </c>
    </row>
    <row r="4569" spans="1:2" x14ac:dyDescent="0.3">
      <c r="A4569" t="s">
        <v>421</v>
      </c>
      <c r="B4569" t="s">
        <v>22</v>
      </c>
    </row>
    <row r="4570" spans="1:2" x14ac:dyDescent="0.3">
      <c r="A4570" t="s">
        <v>414</v>
      </c>
      <c r="B4570" t="s">
        <v>18</v>
      </c>
    </row>
    <row r="4571" spans="1:2" x14ac:dyDescent="0.3">
      <c r="A4571" t="s">
        <v>2826</v>
      </c>
      <c r="B4571" t="s">
        <v>2821</v>
      </c>
    </row>
    <row r="4572" spans="1:2" x14ac:dyDescent="0.3">
      <c r="A4572" t="s">
        <v>2823</v>
      </c>
      <c r="B4572" t="s">
        <v>2821</v>
      </c>
    </row>
    <row r="4573" spans="1:2" x14ac:dyDescent="0.3">
      <c r="A4573" t="s">
        <v>4726</v>
      </c>
      <c r="B4573" t="s">
        <v>2821</v>
      </c>
    </row>
    <row r="4574" spans="1:2" x14ac:dyDescent="0.3">
      <c r="A4574" t="s">
        <v>3878</v>
      </c>
      <c r="B4574" t="s">
        <v>151</v>
      </c>
    </row>
    <row r="4575" spans="1:2" x14ac:dyDescent="0.3">
      <c r="A4575" t="s">
        <v>2828</v>
      </c>
      <c r="B4575" t="s">
        <v>2821</v>
      </c>
    </row>
    <row r="4576" spans="1:2" x14ac:dyDescent="0.3">
      <c r="A4576" t="s">
        <v>3360</v>
      </c>
      <c r="B4576" t="s">
        <v>151</v>
      </c>
    </row>
    <row r="4577" spans="1:2" x14ac:dyDescent="0.3">
      <c r="A4577" t="s">
        <v>3619</v>
      </c>
      <c r="B4577" t="s">
        <v>3066</v>
      </c>
    </row>
    <row r="4578" spans="1:2" x14ac:dyDescent="0.3">
      <c r="A4578" t="s">
        <v>2825</v>
      </c>
      <c r="B4578" t="s">
        <v>2821</v>
      </c>
    </row>
    <row r="4579" spans="1:2" x14ac:dyDescent="0.3">
      <c r="A4579" t="s">
        <v>2822</v>
      </c>
      <c r="B4579" t="s">
        <v>2821</v>
      </c>
    </row>
    <row r="4580" spans="1:2" x14ac:dyDescent="0.3">
      <c r="A4580" t="s">
        <v>2824</v>
      </c>
      <c r="B4580" t="s">
        <v>2821</v>
      </c>
    </row>
    <row r="4581" spans="1:2" x14ac:dyDescent="0.3">
      <c r="A4581" t="s">
        <v>2831</v>
      </c>
      <c r="B4581" t="s">
        <v>151</v>
      </c>
    </row>
    <row r="4582" spans="1:2" x14ac:dyDescent="0.3">
      <c r="A4582" t="s">
        <v>2820</v>
      </c>
      <c r="B4582" t="s">
        <v>2821</v>
      </c>
    </row>
    <row r="4583" spans="1:2" x14ac:dyDescent="0.3">
      <c r="A4583" t="s">
        <v>2927</v>
      </c>
      <c r="B4583" t="s">
        <v>151</v>
      </c>
    </row>
    <row r="4584" spans="1:2" x14ac:dyDescent="0.3">
      <c r="A4584" t="s">
        <v>2037</v>
      </c>
      <c r="B4584" t="s">
        <v>151</v>
      </c>
    </row>
    <row r="4585" spans="1:2" x14ac:dyDescent="0.3">
      <c r="A4585" t="s">
        <v>3879</v>
      </c>
      <c r="B4585" t="s">
        <v>151</v>
      </c>
    </row>
    <row r="4586" spans="1:2" x14ac:dyDescent="0.3">
      <c r="A4586" t="s">
        <v>2100</v>
      </c>
      <c r="B4586" t="s">
        <v>151</v>
      </c>
    </row>
    <row r="4587" spans="1:2" x14ac:dyDescent="0.3">
      <c r="A4587" t="s">
        <v>3796</v>
      </c>
      <c r="B4587" t="s">
        <v>184</v>
      </c>
    </row>
    <row r="4588" spans="1:2" x14ac:dyDescent="0.3">
      <c r="A4588" t="s">
        <v>1820</v>
      </c>
      <c r="B4588" t="s">
        <v>1234</v>
      </c>
    </row>
    <row r="4589" spans="1:2" x14ac:dyDescent="0.3">
      <c r="A4589" t="s">
        <v>118</v>
      </c>
      <c r="B4589" t="s">
        <v>119</v>
      </c>
    </row>
    <row r="4590" spans="1:2" x14ac:dyDescent="0.3">
      <c r="A4590" t="s">
        <v>4034</v>
      </c>
      <c r="B4590" t="s">
        <v>13</v>
      </c>
    </row>
    <row r="4591" spans="1:2" x14ac:dyDescent="0.3">
      <c r="A4591" t="s">
        <v>2921</v>
      </c>
      <c r="B4591" t="s">
        <v>2922</v>
      </c>
    </row>
    <row r="4592" spans="1:2" x14ac:dyDescent="0.3">
      <c r="A4592" t="s">
        <v>3715</v>
      </c>
      <c r="B4592" t="s">
        <v>3716</v>
      </c>
    </row>
    <row r="4593" spans="1:2" x14ac:dyDescent="0.3">
      <c r="A4593" t="s">
        <v>4456</v>
      </c>
      <c r="B4593" t="s">
        <v>4457</v>
      </c>
    </row>
    <row r="4594" spans="1:2" x14ac:dyDescent="0.3">
      <c r="A4594" t="s">
        <v>3191</v>
      </c>
      <c r="B4594" t="s">
        <v>1414</v>
      </c>
    </row>
    <row r="4595" spans="1:2" x14ac:dyDescent="0.3">
      <c r="A4595" t="s">
        <v>859</v>
      </c>
      <c r="B4595" t="s">
        <v>860</v>
      </c>
    </row>
    <row r="4596" spans="1:2" x14ac:dyDescent="0.3">
      <c r="A4596" t="s">
        <v>1401</v>
      </c>
      <c r="B4596" t="s">
        <v>623</v>
      </c>
    </row>
    <row r="4597" spans="1:2" x14ac:dyDescent="0.3">
      <c r="A4597" t="s">
        <v>185</v>
      </c>
      <c r="B4597" t="s">
        <v>184</v>
      </c>
    </row>
    <row r="4598" spans="1:2" x14ac:dyDescent="0.3">
      <c r="A4598" t="s">
        <v>183</v>
      </c>
      <c r="B4598" t="s">
        <v>184</v>
      </c>
    </row>
    <row r="4599" spans="1:2" x14ac:dyDescent="0.3">
      <c r="A4599" t="s">
        <v>187</v>
      </c>
      <c r="B4599" t="s">
        <v>188</v>
      </c>
    </row>
    <row r="4600" spans="1:2" x14ac:dyDescent="0.3">
      <c r="A4600" t="s">
        <v>1884</v>
      </c>
      <c r="B4600" t="s">
        <v>1885</v>
      </c>
    </row>
    <row r="4601" spans="1:2" x14ac:dyDescent="0.3">
      <c r="A4601" t="s">
        <v>189</v>
      </c>
      <c r="B4601" t="s">
        <v>188</v>
      </c>
    </row>
    <row r="4602" spans="1:2" x14ac:dyDescent="0.3">
      <c r="A4602" t="s">
        <v>2032</v>
      </c>
      <c r="B4602" t="s">
        <v>1885</v>
      </c>
    </row>
    <row r="4603" spans="1:2" x14ac:dyDescent="0.3">
      <c r="A4603" t="s">
        <v>186</v>
      </c>
      <c r="B4603" t="s">
        <v>184</v>
      </c>
    </row>
    <row r="4604" spans="1:2" x14ac:dyDescent="0.3">
      <c r="A4604" t="s">
        <v>1887</v>
      </c>
      <c r="B4604" t="s">
        <v>1885</v>
      </c>
    </row>
    <row r="4605" spans="1:2" x14ac:dyDescent="0.3">
      <c r="A4605" t="s">
        <v>1399</v>
      </c>
      <c r="B4605" t="s">
        <v>184</v>
      </c>
    </row>
    <row r="4606" spans="1:2" x14ac:dyDescent="0.3">
      <c r="A4606" t="s">
        <v>3620</v>
      </c>
      <c r="B4606" t="s">
        <v>132</v>
      </c>
    </row>
    <row r="4607" spans="1:2" x14ac:dyDescent="0.3">
      <c r="A4607" t="s">
        <v>4259</v>
      </c>
      <c r="B4607" t="s">
        <v>188</v>
      </c>
    </row>
    <row r="4608" spans="1:2" x14ac:dyDescent="0.3">
      <c r="A4608" t="s">
        <v>2151</v>
      </c>
      <c r="B4608" t="s">
        <v>188</v>
      </c>
    </row>
    <row r="4609" spans="1:2" x14ac:dyDescent="0.3">
      <c r="A4609" t="s">
        <v>3218</v>
      </c>
      <c r="B4609" t="s">
        <v>188</v>
      </c>
    </row>
    <row r="4610" spans="1:2" x14ac:dyDescent="0.3">
      <c r="A4610" t="s">
        <v>3445</v>
      </c>
      <c r="B4610" t="s">
        <v>353</v>
      </c>
    </row>
    <row r="4611" spans="1:2" x14ac:dyDescent="0.3">
      <c r="A4611" t="s">
        <v>1404</v>
      </c>
      <c r="B4611" t="s">
        <v>188</v>
      </c>
    </row>
    <row r="4612" spans="1:2" x14ac:dyDescent="0.3">
      <c r="A4612" t="s">
        <v>1249</v>
      </c>
      <c r="B4612" t="s">
        <v>1250</v>
      </c>
    </row>
    <row r="4613" spans="1:2" x14ac:dyDescent="0.3">
      <c r="A4613" t="s">
        <v>1423</v>
      </c>
      <c r="B4613" t="s">
        <v>188</v>
      </c>
    </row>
    <row r="4614" spans="1:2" x14ac:dyDescent="0.3">
      <c r="A4614" t="s">
        <v>2033</v>
      </c>
      <c r="B4614" t="s">
        <v>188</v>
      </c>
    </row>
    <row r="4615" spans="1:2" x14ac:dyDescent="0.3">
      <c r="A4615" t="s">
        <v>3220</v>
      </c>
      <c r="B4615" t="s">
        <v>188</v>
      </c>
    </row>
    <row r="4616" spans="1:2" x14ac:dyDescent="0.3">
      <c r="A4616" t="s">
        <v>3219</v>
      </c>
      <c r="B4616" t="s">
        <v>188</v>
      </c>
    </row>
    <row r="4617" spans="1:2" x14ac:dyDescent="0.3">
      <c r="A4617" t="s">
        <v>3221</v>
      </c>
      <c r="B4617" t="s">
        <v>188</v>
      </c>
    </row>
    <row r="4618" spans="1:2" x14ac:dyDescent="0.3">
      <c r="A4618" t="s">
        <v>1252</v>
      </c>
      <c r="B4618" t="s">
        <v>188</v>
      </c>
    </row>
    <row r="4619" spans="1:2" x14ac:dyDescent="0.3">
      <c r="A4619" t="s">
        <v>3217</v>
      </c>
      <c r="B4619" t="s">
        <v>188</v>
      </c>
    </row>
    <row r="4620" spans="1:2" x14ac:dyDescent="0.3">
      <c r="A4620" t="s">
        <v>3222</v>
      </c>
      <c r="B4620" t="s">
        <v>188</v>
      </c>
    </row>
    <row r="4621" spans="1:2" x14ac:dyDescent="0.3">
      <c r="A4621" t="s">
        <v>4728</v>
      </c>
      <c r="B4621" t="s">
        <v>4729</v>
      </c>
    </row>
    <row r="4622" spans="1:2" x14ac:dyDescent="0.3">
      <c r="A4622" t="s">
        <v>2148</v>
      </c>
      <c r="B4622" t="s">
        <v>278</v>
      </c>
    </row>
    <row r="4623" spans="1:2" x14ac:dyDescent="0.3">
      <c r="A4623" t="s">
        <v>1400</v>
      </c>
      <c r="B4623" t="s">
        <v>188</v>
      </c>
    </row>
    <row r="4624" spans="1:2" x14ac:dyDescent="0.3">
      <c r="A4624" t="s">
        <v>1942</v>
      </c>
      <c r="B4624" t="s">
        <v>188</v>
      </c>
    </row>
    <row r="4625" spans="1:2" x14ac:dyDescent="0.3">
      <c r="A4625" t="s">
        <v>3223</v>
      </c>
      <c r="B4625" t="s">
        <v>188</v>
      </c>
    </row>
    <row r="4626" spans="1:2" x14ac:dyDescent="0.3">
      <c r="A4626" t="s">
        <v>1708</v>
      </c>
      <c r="B4626" t="s">
        <v>188</v>
      </c>
    </row>
    <row r="4627" spans="1:2" x14ac:dyDescent="0.3">
      <c r="A4627" t="s">
        <v>3681</v>
      </c>
      <c r="B4627" t="s">
        <v>3682</v>
      </c>
    </row>
    <row r="4628" spans="1:2" x14ac:dyDescent="0.3">
      <c r="A4628" t="s">
        <v>3706</v>
      </c>
      <c r="B4628" t="s">
        <v>188</v>
      </c>
    </row>
    <row r="4629" spans="1:2" x14ac:dyDescent="0.3">
      <c r="A4629" t="s">
        <v>2359</v>
      </c>
      <c r="B4629" t="s">
        <v>596</v>
      </c>
    </row>
    <row r="4630" spans="1:2" x14ac:dyDescent="0.3">
      <c r="A4630" t="s">
        <v>3621</v>
      </c>
      <c r="B4630" t="s">
        <v>132</v>
      </c>
    </row>
    <row r="4631" spans="1:2" x14ac:dyDescent="0.3">
      <c r="A4631" t="s">
        <v>4010</v>
      </c>
      <c r="B4631" t="s">
        <v>188</v>
      </c>
    </row>
    <row r="4632" spans="1:2" x14ac:dyDescent="0.3">
      <c r="A4632" t="s">
        <v>3822</v>
      </c>
      <c r="B4632" t="s">
        <v>188</v>
      </c>
    </row>
    <row r="4633" spans="1:2" x14ac:dyDescent="0.3">
      <c r="A4633" t="s">
        <v>2271</v>
      </c>
      <c r="B4633" t="s">
        <v>188</v>
      </c>
    </row>
    <row r="4634" spans="1:2" x14ac:dyDescent="0.3">
      <c r="A4634" t="s">
        <v>4258</v>
      </c>
      <c r="B4634" t="s">
        <v>132</v>
      </c>
    </row>
    <row r="4635" spans="1:2" x14ac:dyDescent="0.3">
      <c r="A4635" t="s">
        <v>1188</v>
      </c>
      <c r="B4635" t="s">
        <v>1189</v>
      </c>
    </row>
    <row r="4636" spans="1:2" x14ac:dyDescent="0.3">
      <c r="A4636" t="s">
        <v>2360</v>
      </c>
      <c r="B4636" t="s">
        <v>188</v>
      </c>
    </row>
    <row r="4637" spans="1:2" x14ac:dyDescent="0.3">
      <c r="A4637" t="s">
        <v>611</v>
      </c>
      <c r="B4637" t="s">
        <v>173</v>
      </c>
    </row>
    <row r="4638" spans="1:2" x14ac:dyDescent="0.3">
      <c r="A4638" t="s">
        <v>723</v>
      </c>
    </row>
    <row r="4639" spans="1:2" x14ac:dyDescent="0.3">
      <c r="A4639" t="s">
        <v>1406</v>
      </c>
      <c r="B4639" t="s">
        <v>188</v>
      </c>
    </row>
    <row r="4640" spans="1:2" x14ac:dyDescent="0.3">
      <c r="A4640" t="s">
        <v>2150</v>
      </c>
      <c r="B4640" t="s">
        <v>173</v>
      </c>
    </row>
    <row r="4641" spans="1:2" x14ac:dyDescent="0.3">
      <c r="A4641" t="s">
        <v>2755</v>
      </c>
      <c r="B4641" t="s">
        <v>184</v>
      </c>
    </row>
    <row r="4642" spans="1:2" x14ac:dyDescent="0.3">
      <c r="A4642" t="s">
        <v>2489</v>
      </c>
      <c r="B4642" t="s">
        <v>184</v>
      </c>
    </row>
    <row r="4643" spans="1:2" x14ac:dyDescent="0.3">
      <c r="A4643" t="s">
        <v>1665</v>
      </c>
      <c r="B4643" t="s">
        <v>151</v>
      </c>
    </row>
    <row r="4644" spans="1:2" x14ac:dyDescent="0.3">
      <c r="A4644" t="s">
        <v>1127</v>
      </c>
      <c r="B4644" t="s">
        <v>173</v>
      </c>
    </row>
    <row r="4645" spans="1:2" x14ac:dyDescent="0.3">
      <c r="A4645" t="s">
        <v>2059</v>
      </c>
      <c r="B4645" t="s">
        <v>188</v>
      </c>
    </row>
    <row r="4646" spans="1:2" x14ac:dyDescent="0.3">
      <c r="A4646" t="s">
        <v>1998</v>
      </c>
      <c r="B4646" t="s">
        <v>184</v>
      </c>
    </row>
    <row r="4647" spans="1:2" x14ac:dyDescent="0.3">
      <c r="A4647" t="s">
        <v>2147</v>
      </c>
      <c r="B4647" t="s">
        <v>173</v>
      </c>
    </row>
    <row r="4648" spans="1:2" x14ac:dyDescent="0.3">
      <c r="A4648" t="s">
        <v>4458</v>
      </c>
      <c r="B4648" t="s">
        <v>492</v>
      </c>
    </row>
    <row r="4649" spans="1:2" x14ac:dyDescent="0.3">
      <c r="A4649" t="s">
        <v>4209</v>
      </c>
      <c r="B4649" t="s">
        <v>173</v>
      </c>
    </row>
    <row r="4650" spans="1:2" x14ac:dyDescent="0.3">
      <c r="A4650" t="s">
        <v>1280</v>
      </c>
    </row>
    <row r="4651" spans="1:2" x14ac:dyDescent="0.3">
      <c r="A4651" t="s">
        <v>1736</v>
      </c>
      <c r="B4651" t="s">
        <v>188</v>
      </c>
    </row>
    <row r="4652" spans="1:2" x14ac:dyDescent="0.3">
      <c r="A4652" t="s">
        <v>836</v>
      </c>
      <c r="B4652" t="s">
        <v>173</v>
      </c>
    </row>
    <row r="4653" spans="1:2" x14ac:dyDescent="0.3">
      <c r="A4653" t="s">
        <v>2581</v>
      </c>
      <c r="B4653" t="s">
        <v>173</v>
      </c>
    </row>
    <row r="4654" spans="1:2" x14ac:dyDescent="0.3">
      <c r="A4654" t="s">
        <v>3840</v>
      </c>
      <c r="B4654" t="s">
        <v>173</v>
      </c>
    </row>
    <row r="4655" spans="1:2" x14ac:dyDescent="0.3">
      <c r="A4655" t="s">
        <v>4343</v>
      </c>
      <c r="B4655" t="s">
        <v>173</v>
      </c>
    </row>
    <row r="4656" spans="1:2" x14ac:dyDescent="0.3">
      <c r="A4656" t="s">
        <v>2582</v>
      </c>
      <c r="B4656" t="s">
        <v>173</v>
      </c>
    </row>
    <row r="4657" spans="1:2" x14ac:dyDescent="0.3">
      <c r="A4657" t="s">
        <v>619</v>
      </c>
      <c r="B4657" t="s">
        <v>151</v>
      </c>
    </row>
    <row r="4658" spans="1:2" x14ac:dyDescent="0.3">
      <c r="A4658" t="s">
        <v>4459</v>
      </c>
      <c r="B4658" t="s">
        <v>132</v>
      </c>
    </row>
    <row r="4659" spans="1:2" x14ac:dyDescent="0.3">
      <c r="A4659" t="s">
        <v>4159</v>
      </c>
      <c r="B4659" t="s">
        <v>188</v>
      </c>
    </row>
    <row r="4660" spans="1:2" x14ac:dyDescent="0.3">
      <c r="A4660" t="s">
        <v>618</v>
      </c>
      <c r="B4660" t="s">
        <v>278</v>
      </c>
    </row>
    <row r="4661" spans="1:2" x14ac:dyDescent="0.3">
      <c r="A4661" t="s">
        <v>3755</v>
      </c>
      <c r="B4661" t="s">
        <v>129</v>
      </c>
    </row>
    <row r="4662" spans="1:2" x14ac:dyDescent="0.3">
      <c r="A4662" t="s">
        <v>318</v>
      </c>
      <c r="B4662" t="s">
        <v>24</v>
      </c>
    </row>
    <row r="4663" spans="1:2" x14ac:dyDescent="0.3">
      <c r="A4663" t="s">
        <v>291</v>
      </c>
      <c r="B4663" t="s">
        <v>292</v>
      </c>
    </row>
    <row r="4664" spans="1:2" x14ac:dyDescent="0.3">
      <c r="A4664" t="s">
        <v>311</v>
      </c>
      <c r="B4664" t="s">
        <v>22</v>
      </c>
    </row>
    <row r="4665" spans="1:2" x14ac:dyDescent="0.3">
      <c r="A4665" t="s">
        <v>317</v>
      </c>
      <c r="B4665" t="s">
        <v>22</v>
      </c>
    </row>
    <row r="4666" spans="1:2" x14ac:dyDescent="0.3">
      <c r="A4666" t="s">
        <v>293</v>
      </c>
      <c r="B4666" t="s">
        <v>294</v>
      </c>
    </row>
    <row r="4667" spans="1:2" x14ac:dyDescent="0.3">
      <c r="A4667" t="s">
        <v>2916</v>
      </c>
      <c r="B4667" t="s">
        <v>22</v>
      </c>
    </row>
    <row r="4668" spans="1:2" x14ac:dyDescent="0.3">
      <c r="A4668" t="s">
        <v>931</v>
      </c>
      <c r="B4668" t="s">
        <v>932</v>
      </c>
    </row>
    <row r="4669" spans="1:2" x14ac:dyDescent="0.3">
      <c r="A4669" t="s">
        <v>933</v>
      </c>
      <c r="B4669" t="s">
        <v>934</v>
      </c>
    </row>
    <row r="4670" spans="1:2" x14ac:dyDescent="0.3">
      <c r="A4670" t="s">
        <v>935</v>
      </c>
      <c r="B4670" t="s">
        <v>936</v>
      </c>
    </row>
    <row r="4671" spans="1:2" x14ac:dyDescent="0.3">
      <c r="A4671" t="s">
        <v>937</v>
      </c>
      <c r="B4671" t="s">
        <v>36</v>
      </c>
    </row>
    <row r="4672" spans="1:2" x14ac:dyDescent="0.3">
      <c r="A4672" t="s">
        <v>929</v>
      </c>
      <c r="B4672" t="s">
        <v>930</v>
      </c>
    </row>
    <row r="4673" spans="1:2" x14ac:dyDescent="0.3">
      <c r="A4673" t="s">
        <v>2361</v>
      </c>
      <c r="B4673" t="s">
        <v>2362</v>
      </c>
    </row>
    <row r="4674" spans="1:2" x14ac:dyDescent="0.3">
      <c r="A4674" t="s">
        <v>2363</v>
      </c>
      <c r="B4674" t="s">
        <v>2364</v>
      </c>
    </row>
    <row r="4675" spans="1:2" x14ac:dyDescent="0.3">
      <c r="A4675" t="s">
        <v>4003</v>
      </c>
      <c r="B4675" t="s">
        <v>22</v>
      </c>
    </row>
    <row r="4676" spans="1:2" x14ac:dyDescent="0.3">
      <c r="A4676" t="s">
        <v>692</v>
      </c>
    </row>
    <row r="4677" spans="1:2" x14ac:dyDescent="0.3">
      <c r="A4677" t="s">
        <v>693</v>
      </c>
    </row>
    <row r="4678" spans="1:2" x14ac:dyDescent="0.3">
      <c r="A4678" t="s">
        <v>695</v>
      </c>
    </row>
    <row r="4679" spans="1:2" x14ac:dyDescent="0.3">
      <c r="A4679" t="s">
        <v>701</v>
      </c>
    </row>
    <row r="4680" spans="1:2" x14ac:dyDescent="0.3">
      <c r="A4680" t="s">
        <v>703</v>
      </c>
    </row>
    <row r="4681" spans="1:2" x14ac:dyDescent="0.3">
      <c r="A4681" t="s">
        <v>697</v>
      </c>
    </row>
    <row r="4682" spans="1:2" x14ac:dyDescent="0.3">
      <c r="A4682" t="s">
        <v>699</v>
      </c>
    </row>
    <row r="4683" spans="1:2" x14ac:dyDescent="0.3">
      <c r="A4683" t="s">
        <v>295</v>
      </c>
      <c r="B4683" t="s">
        <v>296</v>
      </c>
    </row>
    <row r="4684" spans="1:2" x14ac:dyDescent="0.3">
      <c r="A4684" t="s">
        <v>297</v>
      </c>
      <c r="B4684" t="s">
        <v>298</v>
      </c>
    </row>
    <row r="4685" spans="1:2" x14ac:dyDescent="0.3">
      <c r="A4685" t="s">
        <v>310</v>
      </c>
      <c r="B4685" t="s">
        <v>22</v>
      </c>
    </row>
    <row r="4686" spans="1:2" x14ac:dyDescent="0.3">
      <c r="A4686" t="s">
        <v>312</v>
      </c>
      <c r="B4686" t="s">
        <v>22</v>
      </c>
    </row>
    <row r="4687" spans="1:2" x14ac:dyDescent="0.3">
      <c r="A4687" t="s">
        <v>299</v>
      </c>
      <c r="B4687" t="s">
        <v>296</v>
      </c>
    </row>
    <row r="4688" spans="1:2" x14ac:dyDescent="0.3">
      <c r="A4688" t="s">
        <v>300</v>
      </c>
      <c r="B4688" t="s">
        <v>294</v>
      </c>
    </row>
    <row r="4689" spans="1:2" x14ac:dyDescent="0.3">
      <c r="A4689" t="s">
        <v>691</v>
      </c>
    </row>
    <row r="4690" spans="1:2" x14ac:dyDescent="0.3">
      <c r="A4690" t="s">
        <v>694</v>
      </c>
      <c r="B4690" t="s">
        <v>22</v>
      </c>
    </row>
    <row r="4691" spans="1:2" x14ac:dyDescent="0.3">
      <c r="A4691" t="s">
        <v>700</v>
      </c>
    </row>
    <row r="4692" spans="1:2" x14ac:dyDescent="0.3">
      <c r="A4692" t="s">
        <v>735</v>
      </c>
    </row>
    <row r="4693" spans="1:2" x14ac:dyDescent="0.3">
      <c r="A4693" t="s">
        <v>696</v>
      </c>
    </row>
    <row r="4694" spans="1:2" x14ac:dyDescent="0.3">
      <c r="A4694" t="s">
        <v>698</v>
      </c>
    </row>
    <row r="4695" spans="1:2" x14ac:dyDescent="0.3">
      <c r="A4695" t="s">
        <v>702</v>
      </c>
    </row>
    <row r="4696" spans="1:2" x14ac:dyDescent="0.3">
      <c r="A4696" t="s">
        <v>301</v>
      </c>
      <c r="B4696" t="s">
        <v>294</v>
      </c>
    </row>
    <row r="4697" spans="1:2" x14ac:dyDescent="0.3">
      <c r="A4697" t="s">
        <v>302</v>
      </c>
      <c r="B4697" t="s">
        <v>294</v>
      </c>
    </row>
    <row r="4698" spans="1:2" x14ac:dyDescent="0.3">
      <c r="A4698" t="s">
        <v>303</v>
      </c>
      <c r="B4698" t="s">
        <v>294</v>
      </c>
    </row>
    <row r="4699" spans="1:2" x14ac:dyDescent="0.3">
      <c r="A4699" t="s">
        <v>304</v>
      </c>
      <c r="B4699" t="s">
        <v>294</v>
      </c>
    </row>
    <row r="4700" spans="1:2" x14ac:dyDescent="0.3">
      <c r="A4700" t="s">
        <v>305</v>
      </c>
      <c r="B4700" t="s">
        <v>294</v>
      </c>
    </row>
    <row r="4701" spans="1:2" x14ac:dyDescent="0.3">
      <c r="A4701" t="s">
        <v>306</v>
      </c>
      <c r="B4701" t="s">
        <v>294</v>
      </c>
    </row>
    <row r="4702" spans="1:2" x14ac:dyDescent="0.3">
      <c r="A4702" t="s">
        <v>307</v>
      </c>
      <c r="B4702" t="s">
        <v>294</v>
      </c>
    </row>
    <row r="4703" spans="1:2" x14ac:dyDescent="0.3">
      <c r="A4703" t="s">
        <v>308</v>
      </c>
      <c r="B4703" t="s">
        <v>294</v>
      </c>
    </row>
    <row r="4704" spans="1:2" x14ac:dyDescent="0.3">
      <c r="A4704" t="s">
        <v>309</v>
      </c>
      <c r="B4704" t="s">
        <v>294</v>
      </c>
    </row>
    <row r="4705" spans="1:2" x14ac:dyDescent="0.3">
      <c r="A4705" t="s">
        <v>1458</v>
      </c>
      <c r="B4705" t="s">
        <v>22</v>
      </c>
    </row>
    <row r="4706" spans="1:2" x14ac:dyDescent="0.3">
      <c r="A4706" t="s">
        <v>2591</v>
      </c>
      <c r="B4706" t="s">
        <v>22</v>
      </c>
    </row>
    <row r="4707" spans="1:2" x14ac:dyDescent="0.3">
      <c r="A4707" t="s">
        <v>3192</v>
      </c>
      <c r="B4707" t="s">
        <v>116</v>
      </c>
    </row>
    <row r="4708" spans="1:2" x14ac:dyDescent="0.3">
      <c r="A4708" t="s">
        <v>2182</v>
      </c>
      <c r="B4708" t="s">
        <v>2183</v>
      </c>
    </row>
    <row r="4709" spans="1:2" x14ac:dyDescent="0.3">
      <c r="A4709" t="s">
        <v>2436</v>
      </c>
      <c r="B4709" t="s">
        <v>2437</v>
      </c>
    </row>
    <row r="4710" spans="1:2" x14ac:dyDescent="0.3">
      <c r="A4710" t="s">
        <v>2438</v>
      </c>
      <c r="B4710" t="s">
        <v>116</v>
      </c>
    </row>
    <row r="4711" spans="1:2" x14ac:dyDescent="0.3">
      <c r="A4711" t="s">
        <v>2439</v>
      </c>
      <c r="B4711" t="s">
        <v>2440</v>
      </c>
    </row>
    <row r="4712" spans="1:2" x14ac:dyDescent="0.3">
      <c r="A4712" t="s">
        <v>2441</v>
      </c>
      <c r="B4712" t="s">
        <v>116</v>
      </c>
    </row>
    <row r="4713" spans="1:2" x14ac:dyDescent="0.3">
      <c r="A4713" t="s">
        <v>2442</v>
      </c>
      <c r="B4713" t="s">
        <v>116</v>
      </c>
    </row>
    <row r="4714" spans="1:2" x14ac:dyDescent="0.3">
      <c r="A4714" t="s">
        <v>1391</v>
      </c>
      <c r="B4714" t="s">
        <v>116</v>
      </c>
    </row>
    <row r="4715" spans="1:2" x14ac:dyDescent="0.3">
      <c r="A4715" t="s">
        <v>1392</v>
      </c>
      <c r="B4715" t="s">
        <v>116</v>
      </c>
    </row>
    <row r="4716" spans="1:2" x14ac:dyDescent="0.3">
      <c r="A4716" t="s">
        <v>1959</v>
      </c>
      <c r="B4716" t="s">
        <v>116</v>
      </c>
    </row>
    <row r="4717" spans="1:2" x14ac:dyDescent="0.3">
      <c r="A4717" t="s">
        <v>1960</v>
      </c>
      <c r="B4717" t="s">
        <v>116</v>
      </c>
    </row>
    <row r="4718" spans="1:2" x14ac:dyDescent="0.3">
      <c r="A4718" t="s">
        <v>3488</v>
      </c>
      <c r="B4718" t="s">
        <v>116</v>
      </c>
    </row>
    <row r="4719" spans="1:2" x14ac:dyDescent="0.3">
      <c r="A4719" t="s">
        <v>3363</v>
      </c>
      <c r="B4719" t="s">
        <v>116</v>
      </c>
    </row>
    <row r="4720" spans="1:2" x14ac:dyDescent="0.3">
      <c r="A4720" t="s">
        <v>2365</v>
      </c>
      <c r="B4720" t="s">
        <v>353</v>
      </c>
    </row>
    <row r="4721" spans="1:2" x14ac:dyDescent="0.3">
      <c r="A4721" t="s">
        <v>2443</v>
      </c>
      <c r="B4721" t="s">
        <v>2444</v>
      </c>
    </row>
    <row r="4722" spans="1:2" x14ac:dyDescent="0.3">
      <c r="A4722" t="s">
        <v>1082</v>
      </c>
      <c r="B4722" t="s">
        <v>353</v>
      </c>
    </row>
    <row r="4723" spans="1:2" x14ac:dyDescent="0.3">
      <c r="A4723" t="s">
        <v>1083</v>
      </c>
      <c r="B4723" t="s">
        <v>353</v>
      </c>
    </row>
    <row r="4724" spans="1:2" x14ac:dyDescent="0.3">
      <c r="A4724" t="s">
        <v>1084</v>
      </c>
      <c r="B4724" t="s">
        <v>353</v>
      </c>
    </row>
    <row r="4725" spans="1:2" x14ac:dyDescent="0.3">
      <c r="A4725" t="s">
        <v>2181</v>
      </c>
      <c r="B4725" t="s">
        <v>353</v>
      </c>
    </row>
    <row r="4726" spans="1:2" x14ac:dyDescent="0.3">
      <c r="A4726" t="s">
        <v>3253</v>
      </c>
      <c r="B4726" t="s">
        <v>3254</v>
      </c>
    </row>
    <row r="4727" spans="1:2" x14ac:dyDescent="0.3">
      <c r="A4727" t="s">
        <v>3271</v>
      </c>
      <c r="B4727" t="s">
        <v>353</v>
      </c>
    </row>
    <row r="4728" spans="1:2" x14ac:dyDescent="0.3">
      <c r="A4728" t="s">
        <v>4676</v>
      </c>
      <c r="B4728" t="s">
        <v>4677</v>
      </c>
    </row>
    <row r="4729" spans="1:2" x14ac:dyDescent="0.3">
      <c r="A4729" t="s">
        <v>4678</v>
      </c>
      <c r="B4729" t="s">
        <v>246</v>
      </c>
    </row>
    <row r="4730" spans="1:2" x14ac:dyDescent="0.3">
      <c r="A4730" t="s">
        <v>4679</v>
      </c>
      <c r="B4730" t="s">
        <v>246</v>
      </c>
    </row>
    <row r="4731" spans="1:2" x14ac:dyDescent="0.3">
      <c r="A4731" t="s">
        <v>2445</v>
      </c>
      <c r="B4731" t="s">
        <v>246</v>
      </c>
    </row>
    <row r="4732" spans="1:2" x14ac:dyDescent="0.3">
      <c r="A4732" t="s">
        <v>3270</v>
      </c>
      <c r="B4732" t="s">
        <v>246</v>
      </c>
    </row>
    <row r="4733" spans="1:2" x14ac:dyDescent="0.3">
      <c r="A4733" t="s">
        <v>1845</v>
      </c>
      <c r="B4733" t="s">
        <v>336</v>
      </c>
    </row>
    <row r="4734" spans="1:2" x14ac:dyDescent="0.3">
      <c r="A4734" t="s">
        <v>927</v>
      </c>
      <c r="B4734" t="s">
        <v>928</v>
      </c>
    </row>
    <row r="4735" spans="1:2" x14ac:dyDescent="0.3">
      <c r="A4735" t="s">
        <v>1532</v>
      </c>
      <c r="B4735" t="s">
        <v>116</v>
      </c>
    </row>
    <row r="4736" spans="1:2" x14ac:dyDescent="0.3">
      <c r="A4736" t="s">
        <v>4460</v>
      </c>
      <c r="B4736" t="s">
        <v>129</v>
      </c>
    </row>
    <row r="4737" spans="1:2" x14ac:dyDescent="0.3">
      <c r="A4737" t="s">
        <v>3832</v>
      </c>
      <c r="B4737" t="s">
        <v>116</v>
      </c>
    </row>
    <row r="4738" spans="1:2" x14ac:dyDescent="0.3">
      <c r="A4738" t="s">
        <v>2519</v>
      </c>
      <c r="B4738" t="s">
        <v>2520</v>
      </c>
    </row>
    <row r="4739" spans="1:2" x14ac:dyDescent="0.3">
      <c r="A4739" t="s">
        <v>2002</v>
      </c>
      <c r="B4739" t="s">
        <v>116</v>
      </c>
    </row>
    <row r="4740" spans="1:2" x14ac:dyDescent="0.3">
      <c r="A4740" t="s">
        <v>2518</v>
      </c>
      <c r="B4740" t="s">
        <v>116</v>
      </c>
    </row>
    <row r="4741" spans="1:2" x14ac:dyDescent="0.3">
      <c r="A4741" t="s">
        <v>2004</v>
      </c>
      <c r="B4741" t="s">
        <v>116</v>
      </c>
    </row>
    <row r="4742" spans="1:2" x14ac:dyDescent="0.3">
      <c r="A4742" t="s">
        <v>3732</v>
      </c>
      <c r="B4742" t="s">
        <v>116</v>
      </c>
    </row>
    <row r="4743" spans="1:2" x14ac:dyDescent="0.3">
      <c r="A4743" t="s">
        <v>3833</v>
      </c>
      <c r="B4743" t="s">
        <v>116</v>
      </c>
    </row>
    <row r="4744" spans="1:2" x14ac:dyDescent="0.3">
      <c r="A4744" t="s">
        <v>2006</v>
      </c>
      <c r="B4744" t="s">
        <v>116</v>
      </c>
    </row>
    <row r="4745" spans="1:2" x14ac:dyDescent="0.3">
      <c r="A4745" t="s">
        <v>2007</v>
      </c>
      <c r="B4745" t="s">
        <v>116</v>
      </c>
    </row>
    <row r="4746" spans="1:2" x14ac:dyDescent="0.3">
      <c r="A4746" t="s">
        <v>2008</v>
      </c>
      <c r="B4746" t="s">
        <v>116</v>
      </c>
    </row>
    <row r="4747" spans="1:2" x14ac:dyDescent="0.3">
      <c r="A4747" t="s">
        <v>3193</v>
      </c>
      <c r="B4747" t="s">
        <v>116</v>
      </c>
    </row>
    <row r="4748" spans="1:2" x14ac:dyDescent="0.3">
      <c r="A4748" t="s">
        <v>2003</v>
      </c>
      <c r="B4748" t="s">
        <v>116</v>
      </c>
    </row>
    <row r="4749" spans="1:2" x14ac:dyDescent="0.3">
      <c r="A4749" t="s">
        <v>2009</v>
      </c>
      <c r="B4749" t="s">
        <v>116</v>
      </c>
    </row>
    <row r="4750" spans="1:2" x14ac:dyDescent="0.3">
      <c r="A4750" t="s">
        <v>4042</v>
      </c>
      <c r="B4750" t="s">
        <v>116</v>
      </c>
    </row>
    <row r="4751" spans="1:2" x14ac:dyDescent="0.3">
      <c r="A4751" t="s">
        <v>3996</v>
      </c>
      <c r="B4751" t="s">
        <v>116</v>
      </c>
    </row>
    <row r="4752" spans="1:2" x14ac:dyDescent="0.3">
      <c r="A4752" t="s">
        <v>3194</v>
      </c>
      <c r="B4752" t="s">
        <v>116</v>
      </c>
    </row>
    <row r="4753" spans="1:2" x14ac:dyDescent="0.3">
      <c r="A4753" t="s">
        <v>3195</v>
      </c>
      <c r="B4753" t="s">
        <v>116</v>
      </c>
    </row>
    <row r="4754" spans="1:2" x14ac:dyDescent="0.3">
      <c r="A4754" t="s">
        <v>4143</v>
      </c>
      <c r="B4754" t="s">
        <v>116</v>
      </c>
    </row>
    <row r="4755" spans="1:2" x14ac:dyDescent="0.3">
      <c r="A4755" t="s">
        <v>2843</v>
      </c>
      <c r="B4755" t="s">
        <v>2844</v>
      </c>
    </row>
    <row r="4756" spans="1:2" x14ac:dyDescent="0.3">
      <c r="A4756" t="s">
        <v>4777</v>
      </c>
      <c r="B4756" t="s">
        <v>13</v>
      </c>
    </row>
    <row r="4757" spans="1:2" x14ac:dyDescent="0.3">
      <c r="A4757" t="s">
        <v>4781</v>
      </c>
      <c r="B4757" t="s">
        <v>13</v>
      </c>
    </row>
    <row r="4758" spans="1:2" x14ac:dyDescent="0.3">
      <c r="A4758" t="s">
        <v>4224</v>
      </c>
      <c r="B4758" t="s">
        <v>151</v>
      </c>
    </row>
    <row r="4759" spans="1:2" x14ac:dyDescent="0.3">
      <c r="A4759" t="s">
        <v>4253</v>
      </c>
      <c r="B4759" t="s">
        <v>151</v>
      </c>
    </row>
    <row r="4760" spans="1:2" x14ac:dyDescent="0.3">
      <c r="A4760" t="s">
        <v>1352</v>
      </c>
      <c r="B4760" t="s">
        <v>336</v>
      </c>
    </row>
    <row r="4761" spans="1:2" x14ac:dyDescent="0.3">
      <c r="A4761" t="s">
        <v>1768</v>
      </c>
      <c r="B4761" t="s">
        <v>1769</v>
      </c>
    </row>
    <row r="4762" spans="1:2" x14ac:dyDescent="0.3">
      <c r="A4762" t="s">
        <v>3032</v>
      </c>
      <c r="B4762" t="s">
        <v>470</v>
      </c>
    </row>
    <row r="4763" spans="1:2" x14ac:dyDescent="0.3">
      <c r="A4763" t="s">
        <v>3829</v>
      </c>
      <c r="B4763" t="s">
        <v>3830</v>
      </c>
    </row>
    <row r="4764" spans="1:2" x14ac:dyDescent="0.3">
      <c r="A4764" t="s">
        <v>4215</v>
      </c>
      <c r="B4764" t="s">
        <v>372</v>
      </c>
    </row>
    <row r="4765" spans="1:2" x14ac:dyDescent="0.3">
      <c r="A4765" t="s">
        <v>2205</v>
      </c>
      <c r="B4765" t="s">
        <v>366</v>
      </c>
    </row>
    <row r="4766" spans="1:2" x14ac:dyDescent="0.3">
      <c r="A4766" t="s">
        <v>3999</v>
      </c>
      <c r="B4766" t="s">
        <v>353</v>
      </c>
    </row>
    <row r="4767" spans="1:2" x14ac:dyDescent="0.3">
      <c r="A4767" t="s">
        <v>3466</v>
      </c>
      <c r="B4767" t="s">
        <v>246</v>
      </c>
    </row>
    <row r="4768" spans="1:2" x14ac:dyDescent="0.3">
      <c r="A4768" t="s">
        <v>1783</v>
      </c>
      <c r="B4768" t="s">
        <v>336</v>
      </c>
    </row>
    <row r="4769" spans="1:2" x14ac:dyDescent="0.3">
      <c r="A4769" t="s">
        <v>3845</v>
      </c>
      <c r="B4769" t="s">
        <v>173</v>
      </c>
    </row>
    <row r="4770" spans="1:2" x14ac:dyDescent="0.3">
      <c r="A4770" t="s">
        <v>1862</v>
      </c>
      <c r="B4770" t="s">
        <v>188</v>
      </c>
    </row>
    <row r="4771" spans="1:2" x14ac:dyDescent="0.3">
      <c r="A4771" t="s">
        <v>3678</v>
      </c>
      <c r="B4771" t="s">
        <v>173</v>
      </c>
    </row>
    <row r="4772" spans="1:2" x14ac:dyDescent="0.3">
      <c r="A4772" t="s">
        <v>2919</v>
      </c>
      <c r="B4772" t="s">
        <v>366</v>
      </c>
    </row>
    <row r="4773" spans="1:2" x14ac:dyDescent="0.3">
      <c r="A4773" t="s">
        <v>4216</v>
      </c>
      <c r="B4773" t="s">
        <v>363</v>
      </c>
    </row>
    <row r="4774" spans="1:2" x14ac:dyDescent="0.3">
      <c r="A4774" t="s">
        <v>4315</v>
      </c>
      <c r="B4774" t="s">
        <v>363</v>
      </c>
    </row>
    <row r="4775" spans="1:2" x14ac:dyDescent="0.3">
      <c r="A4775" t="s">
        <v>2201</v>
      </c>
      <c r="B4775" t="s">
        <v>363</v>
      </c>
    </row>
    <row r="4776" spans="1:2" x14ac:dyDescent="0.3">
      <c r="A4776" t="s">
        <v>4160</v>
      </c>
      <c r="B4776" t="s">
        <v>363</v>
      </c>
    </row>
    <row r="4777" spans="1:2" x14ac:dyDescent="0.3">
      <c r="A4777" t="s">
        <v>727</v>
      </c>
    </row>
    <row r="4778" spans="1:2" x14ac:dyDescent="0.3">
      <c r="A4778" t="s">
        <v>3692</v>
      </c>
      <c r="B4778" t="s">
        <v>173</v>
      </c>
    </row>
    <row r="4779" spans="1:2" x14ac:dyDescent="0.3">
      <c r="A4779" t="s">
        <v>549</v>
      </c>
    </row>
    <row r="4780" spans="1:2" x14ac:dyDescent="0.3">
      <c r="A4780" t="s">
        <v>1221</v>
      </c>
      <c r="B4780" t="s">
        <v>13</v>
      </c>
    </row>
    <row r="4781" spans="1:2" x14ac:dyDescent="0.3">
      <c r="A4781" t="s">
        <v>1154</v>
      </c>
      <c r="B4781" t="s">
        <v>470</v>
      </c>
    </row>
    <row r="4782" spans="1:2" x14ac:dyDescent="0.3">
      <c r="A4782" t="s">
        <v>529</v>
      </c>
    </row>
    <row r="4783" spans="1:2" x14ac:dyDescent="0.3">
      <c r="A4783" t="s">
        <v>4793</v>
      </c>
      <c r="B4783" t="s">
        <v>3588</v>
      </c>
    </row>
    <row r="4784" spans="1:2" x14ac:dyDescent="0.3">
      <c r="A4784" t="s">
        <v>3587</v>
      </c>
      <c r="B4784" t="s">
        <v>3588</v>
      </c>
    </row>
    <row r="4785" spans="1:2" x14ac:dyDescent="0.3">
      <c r="A4785" t="s">
        <v>3576</v>
      </c>
      <c r="B4785" t="s">
        <v>1212</v>
      </c>
    </row>
    <row r="4786" spans="1:2" x14ac:dyDescent="0.3">
      <c r="A4786" t="s">
        <v>2193</v>
      </c>
      <c r="B4786" t="s">
        <v>2194</v>
      </c>
    </row>
    <row r="4787" spans="1:2" x14ac:dyDescent="0.3">
      <c r="A4787" t="s">
        <v>2117</v>
      </c>
      <c r="B4787" t="s">
        <v>2118</v>
      </c>
    </row>
    <row r="4788" spans="1:2" x14ac:dyDescent="0.3">
      <c r="A4788" t="s">
        <v>1322</v>
      </c>
      <c r="B4788" t="s">
        <v>1323</v>
      </c>
    </row>
    <row r="4789" spans="1:2" x14ac:dyDescent="0.3">
      <c r="A4789" t="s">
        <v>4339</v>
      </c>
      <c r="B4789" t="s">
        <v>3818</v>
      </c>
    </row>
    <row r="4790" spans="1:2" x14ac:dyDescent="0.3">
      <c r="A4790" t="s">
        <v>1818</v>
      </c>
    </row>
    <row r="4791" spans="1:2" x14ac:dyDescent="0.3">
      <c r="A4791" t="s">
        <v>3666</v>
      </c>
      <c r="B4791" t="s">
        <v>3667</v>
      </c>
    </row>
    <row r="4792" spans="1:2" x14ac:dyDescent="0.3">
      <c r="A4792" t="s">
        <v>3262</v>
      </c>
      <c r="B4792" t="s">
        <v>1869</v>
      </c>
    </row>
    <row r="4793" spans="1:2" x14ac:dyDescent="0.3">
      <c r="A4793" t="s">
        <v>3939</v>
      </c>
      <c r="B4793" t="s">
        <v>2836</v>
      </c>
    </row>
    <row r="4794" spans="1:2" x14ac:dyDescent="0.3">
      <c r="A4794" t="s">
        <v>2878</v>
      </c>
      <c r="B4794" t="s">
        <v>246</v>
      </c>
    </row>
    <row r="4795" spans="1:2" x14ac:dyDescent="0.3">
      <c r="A4795" t="s">
        <v>3764</v>
      </c>
      <c r="B4795" t="s">
        <v>3765</v>
      </c>
    </row>
    <row r="4796" spans="1:2" x14ac:dyDescent="0.3">
      <c r="A4796" t="s">
        <v>2655</v>
      </c>
      <c r="B4796" t="s">
        <v>672</v>
      </c>
    </row>
    <row r="4797" spans="1:2" x14ac:dyDescent="0.3">
      <c r="A4797" t="s">
        <v>4739</v>
      </c>
      <c r="B4797" t="s">
        <v>3204</v>
      </c>
    </row>
    <row r="4798" spans="1:2" x14ac:dyDescent="0.3">
      <c r="A4798" t="s">
        <v>4595</v>
      </c>
      <c r="B4798" t="s">
        <v>116</v>
      </c>
    </row>
    <row r="4799" spans="1:2" x14ac:dyDescent="0.3">
      <c r="A4799" t="s">
        <v>2697</v>
      </c>
      <c r="B4799" t="s">
        <v>116</v>
      </c>
    </row>
    <row r="4800" spans="1:2" x14ac:dyDescent="0.3">
      <c r="A4800" t="s">
        <v>4570</v>
      </c>
      <c r="B4800" t="s">
        <v>116</v>
      </c>
    </row>
    <row r="4801" spans="1:2" x14ac:dyDescent="0.3">
      <c r="A4801" t="s">
        <v>4571</v>
      </c>
      <c r="B4801" t="s">
        <v>116</v>
      </c>
    </row>
    <row r="4802" spans="1:2" x14ac:dyDescent="0.3">
      <c r="A4802" t="s">
        <v>2698</v>
      </c>
      <c r="B4802" t="s">
        <v>116</v>
      </c>
    </row>
    <row r="4803" spans="1:2" x14ac:dyDescent="0.3">
      <c r="A4803" t="s">
        <v>3797</v>
      </c>
      <c r="B4803" t="s">
        <v>116</v>
      </c>
    </row>
    <row r="4804" spans="1:2" x14ac:dyDescent="0.3">
      <c r="A4804" t="s">
        <v>3702</v>
      </c>
      <c r="B4804" t="s">
        <v>116</v>
      </c>
    </row>
    <row r="4805" spans="1:2" x14ac:dyDescent="0.3">
      <c r="A4805" t="s">
        <v>3239</v>
      </c>
      <c r="B4805" t="s">
        <v>116</v>
      </c>
    </row>
    <row r="4806" spans="1:2" x14ac:dyDescent="0.3">
      <c r="A4806" t="s">
        <v>2865</v>
      </c>
      <c r="B4806" t="s">
        <v>353</v>
      </c>
    </row>
    <row r="4807" spans="1:2" x14ac:dyDescent="0.3">
      <c r="A4807" t="s">
        <v>377</v>
      </c>
      <c r="B4807" t="s">
        <v>353</v>
      </c>
    </row>
    <row r="4808" spans="1:2" x14ac:dyDescent="0.3">
      <c r="A4808" t="s">
        <v>2961</v>
      </c>
      <c r="B4808" t="s">
        <v>1390</v>
      </c>
    </row>
    <row r="4809" spans="1:2" x14ac:dyDescent="0.3">
      <c r="A4809" t="s">
        <v>2994</v>
      </c>
      <c r="B4809" t="s">
        <v>353</v>
      </c>
    </row>
    <row r="4810" spans="1:2" x14ac:dyDescent="0.3">
      <c r="A4810" t="s">
        <v>384</v>
      </c>
      <c r="B4810" t="s">
        <v>353</v>
      </c>
    </row>
    <row r="4811" spans="1:2" x14ac:dyDescent="0.3">
      <c r="A4811" t="s">
        <v>2700</v>
      </c>
      <c r="B4811" t="s">
        <v>353</v>
      </c>
    </row>
    <row r="4812" spans="1:2" x14ac:dyDescent="0.3">
      <c r="A4812" t="s">
        <v>4515</v>
      </c>
      <c r="B4812" t="s">
        <v>4516</v>
      </c>
    </row>
    <row r="4813" spans="1:2" x14ac:dyDescent="0.3">
      <c r="A4813" t="s">
        <v>3252</v>
      </c>
      <c r="B4813" t="s">
        <v>353</v>
      </c>
    </row>
    <row r="4814" spans="1:2" x14ac:dyDescent="0.3">
      <c r="A4814" t="s">
        <v>4461</v>
      </c>
      <c r="B4814" t="s">
        <v>353</v>
      </c>
    </row>
    <row r="4815" spans="1:2" x14ac:dyDescent="0.3">
      <c r="A4815" t="s">
        <v>3196</v>
      </c>
      <c r="B4815" t="s">
        <v>353</v>
      </c>
    </row>
    <row r="4816" spans="1:2" x14ac:dyDescent="0.3">
      <c r="A4816" t="s">
        <v>1389</v>
      </c>
      <c r="B4816" t="s">
        <v>1390</v>
      </c>
    </row>
    <row r="4817" spans="1:2" x14ac:dyDescent="0.3">
      <c r="A4817" t="s">
        <v>2446</v>
      </c>
      <c r="B4817" t="s">
        <v>2447</v>
      </c>
    </row>
    <row r="4818" spans="1:2" x14ac:dyDescent="0.3">
      <c r="A4818" t="s">
        <v>1828</v>
      </c>
      <c r="B4818" t="s">
        <v>1829</v>
      </c>
    </row>
    <row r="4819" spans="1:2" x14ac:dyDescent="0.3">
      <c r="A4819" t="s">
        <v>1920</v>
      </c>
    </row>
    <row r="4820" spans="1:2" x14ac:dyDescent="0.3">
      <c r="A4820" t="s">
        <v>1200</v>
      </c>
      <c r="B4820" t="s">
        <v>353</v>
      </c>
    </row>
    <row r="4821" spans="1:2" x14ac:dyDescent="0.3">
      <c r="A4821" t="s">
        <v>4801</v>
      </c>
      <c r="B4821" t="s">
        <v>116</v>
      </c>
    </row>
    <row r="4822" spans="1:2" x14ac:dyDescent="0.3">
      <c r="A4822" t="s">
        <v>3197</v>
      </c>
      <c r="B4822" t="s">
        <v>353</v>
      </c>
    </row>
    <row r="4823" spans="1:2" x14ac:dyDescent="0.3">
      <c r="A4823" t="s">
        <v>899</v>
      </c>
      <c r="B4823" t="s">
        <v>353</v>
      </c>
    </row>
    <row r="4824" spans="1:2" x14ac:dyDescent="0.3">
      <c r="A4824" t="s">
        <v>3768</v>
      </c>
      <c r="B4824" t="s">
        <v>353</v>
      </c>
    </row>
    <row r="4825" spans="1:2" x14ac:dyDescent="0.3">
      <c r="A4825" t="s">
        <v>1411</v>
      </c>
      <c r="B4825" t="s">
        <v>353</v>
      </c>
    </row>
    <row r="4826" spans="1:2" x14ac:dyDescent="0.3">
      <c r="A4826" t="s">
        <v>2188</v>
      </c>
    </row>
    <row r="4827" spans="1:2" x14ac:dyDescent="0.3">
      <c r="A4827" t="s">
        <v>2187</v>
      </c>
    </row>
    <row r="4828" spans="1:2" x14ac:dyDescent="0.3">
      <c r="A4828" t="s">
        <v>567</v>
      </c>
      <c r="B4828" t="s">
        <v>568</v>
      </c>
    </row>
    <row r="4829" spans="1:2" x14ac:dyDescent="0.3">
      <c r="A4829" t="s">
        <v>4763</v>
      </c>
      <c r="B4829" t="s">
        <v>363</v>
      </c>
    </row>
    <row r="4830" spans="1:2" x14ac:dyDescent="0.3">
      <c r="A4830" t="s">
        <v>4764</v>
      </c>
      <c r="B4830" t="s">
        <v>363</v>
      </c>
    </row>
    <row r="4831" spans="1:2" x14ac:dyDescent="0.3">
      <c r="A4831" t="s">
        <v>1498</v>
      </c>
      <c r="B4831" t="s">
        <v>116</v>
      </c>
    </row>
    <row r="4832" spans="1:2" x14ac:dyDescent="0.3">
      <c r="A4832" t="s">
        <v>3885</v>
      </c>
      <c r="B4832" t="s">
        <v>568</v>
      </c>
    </row>
    <row r="4833" spans="1:2" x14ac:dyDescent="0.3">
      <c r="A4833" t="s">
        <v>4760</v>
      </c>
      <c r="B4833" t="s">
        <v>353</v>
      </c>
    </row>
    <row r="4834" spans="1:2" x14ac:dyDescent="0.3">
      <c r="A4834" t="s">
        <v>4805</v>
      </c>
      <c r="B4834" t="s">
        <v>363</v>
      </c>
    </row>
    <row r="4835" spans="1:2" x14ac:dyDescent="0.3">
      <c r="A4835" t="s">
        <v>4762</v>
      </c>
      <c r="B4835" t="s">
        <v>136</v>
      </c>
    </row>
    <row r="4836" spans="1:2" x14ac:dyDescent="0.3">
      <c r="A4836" t="s">
        <v>4806</v>
      </c>
      <c r="B4836" t="s">
        <v>353</v>
      </c>
    </row>
    <row r="4837" spans="1:2" x14ac:dyDescent="0.3">
      <c r="A4837" t="s">
        <v>3327</v>
      </c>
      <c r="B4837" t="s">
        <v>246</v>
      </c>
    </row>
    <row r="4838" spans="1:2" x14ac:dyDescent="0.3">
      <c r="A4838" t="s">
        <v>2047</v>
      </c>
      <c r="B4838" t="s">
        <v>1081</v>
      </c>
    </row>
    <row r="4839" spans="1:2" x14ac:dyDescent="0.3">
      <c r="A4839" t="s">
        <v>1080</v>
      </c>
      <c r="B4839" t="s">
        <v>1081</v>
      </c>
    </row>
    <row r="4840" spans="1:2" x14ac:dyDescent="0.3">
      <c r="A4840" t="s">
        <v>4638</v>
      </c>
      <c r="B4840" t="s">
        <v>116</v>
      </c>
    </row>
    <row r="4841" spans="1:2" x14ac:dyDescent="0.3">
      <c r="A4841" t="s">
        <v>4057</v>
      </c>
      <c r="B4841" t="s">
        <v>4058</v>
      </c>
    </row>
    <row r="4842" spans="1:2" x14ac:dyDescent="0.3">
      <c r="A4842" t="s">
        <v>3198</v>
      </c>
      <c r="B4842" t="s">
        <v>116</v>
      </c>
    </row>
    <row r="4843" spans="1:2" x14ac:dyDescent="0.3">
      <c r="A4843" t="s">
        <v>4809</v>
      </c>
      <c r="B4843" t="s">
        <v>363</v>
      </c>
    </row>
    <row r="4844" spans="1:2" x14ac:dyDescent="0.3">
      <c r="A4844" t="s">
        <v>3295</v>
      </c>
      <c r="B4844" t="s">
        <v>116</v>
      </c>
    </row>
    <row r="4845" spans="1:2" x14ac:dyDescent="0.3">
      <c r="A4845" t="s">
        <v>3199</v>
      </c>
      <c r="B4845" t="s">
        <v>116</v>
      </c>
    </row>
    <row r="4846" spans="1:2" x14ac:dyDescent="0.3">
      <c r="A4846" t="s">
        <v>4665</v>
      </c>
      <c r="B4846" t="s">
        <v>116</v>
      </c>
    </row>
    <row r="4847" spans="1:2" x14ac:dyDescent="0.3">
      <c r="A4847" t="s">
        <v>862</v>
      </c>
      <c r="B4847" t="s">
        <v>116</v>
      </c>
    </row>
    <row r="4848" spans="1:2" x14ac:dyDescent="0.3">
      <c r="A4848" t="s">
        <v>3650</v>
      </c>
      <c r="B4848" t="s">
        <v>2637</v>
      </c>
    </row>
    <row r="4849" spans="1:2" x14ac:dyDescent="0.3">
      <c r="A4849" t="s">
        <v>3622</v>
      </c>
      <c r="B4849" t="s">
        <v>2637</v>
      </c>
    </row>
    <row r="4850" spans="1:2" x14ac:dyDescent="0.3">
      <c r="A4850" t="s">
        <v>3651</v>
      </c>
      <c r="B4850" t="s">
        <v>2637</v>
      </c>
    </row>
    <row r="4851" spans="1:2" x14ac:dyDescent="0.3">
      <c r="A4851" t="s">
        <v>3652</v>
      </c>
      <c r="B4851" t="s">
        <v>1554</v>
      </c>
    </row>
    <row r="4852" spans="1:2" x14ac:dyDescent="0.3">
      <c r="A4852" t="s">
        <v>3834</v>
      </c>
      <c r="B4852" t="s">
        <v>2637</v>
      </c>
    </row>
    <row r="4853" spans="1:2" x14ac:dyDescent="0.3">
      <c r="A4853" t="s">
        <v>1682</v>
      </c>
      <c r="B4853" t="s">
        <v>1683</v>
      </c>
    </row>
    <row r="4854" spans="1:2" x14ac:dyDescent="0.3">
      <c r="A4854" t="s">
        <v>2636</v>
      </c>
      <c r="B4854" t="s">
        <v>2637</v>
      </c>
    </row>
    <row r="4855" spans="1:2" x14ac:dyDescent="0.3">
      <c r="A4855" t="s">
        <v>4502</v>
      </c>
      <c r="B4855" t="s">
        <v>568</v>
      </c>
    </row>
    <row r="4856" spans="1:2" x14ac:dyDescent="0.3">
      <c r="A4856" t="s">
        <v>2840</v>
      </c>
      <c r="B4856" t="s">
        <v>366</v>
      </c>
    </row>
    <row r="4857" spans="1:2" x14ac:dyDescent="0.3">
      <c r="A4857" t="s">
        <v>1678</v>
      </c>
      <c r="B4857" t="s">
        <v>1677</v>
      </c>
    </row>
    <row r="4858" spans="1:2" x14ac:dyDescent="0.3">
      <c r="A4858" t="s">
        <v>4316</v>
      </c>
      <c r="B4858" t="s">
        <v>188</v>
      </c>
    </row>
    <row r="4859" spans="1:2" x14ac:dyDescent="0.3">
      <c r="A4859" t="s">
        <v>3265</v>
      </c>
      <c r="B4859" t="s">
        <v>3266</v>
      </c>
    </row>
    <row r="4860" spans="1:2" x14ac:dyDescent="0.3">
      <c r="A4860" t="s">
        <v>4803</v>
      </c>
      <c r="B4860" t="s">
        <v>363</v>
      </c>
    </row>
    <row r="4861" spans="1:2" x14ac:dyDescent="0.3">
      <c r="A4861" t="s">
        <v>2063</v>
      </c>
      <c r="B4861" t="s">
        <v>363</v>
      </c>
    </row>
    <row r="4862" spans="1:2" x14ac:dyDescent="0.3">
      <c r="A4862" t="s">
        <v>2064</v>
      </c>
      <c r="B4862" t="s">
        <v>363</v>
      </c>
    </row>
    <row r="4863" spans="1:2" x14ac:dyDescent="0.3">
      <c r="A4863" t="s">
        <v>3846</v>
      </c>
      <c r="B4863" t="s">
        <v>173</v>
      </c>
    </row>
    <row r="4864" spans="1:2" x14ac:dyDescent="0.3">
      <c r="A4864" t="s">
        <v>4704</v>
      </c>
      <c r="B4864" t="s">
        <v>188</v>
      </c>
    </row>
    <row r="4865" spans="1:2" x14ac:dyDescent="0.3">
      <c r="A4865" t="s">
        <v>1883</v>
      </c>
      <c r="B4865" t="s">
        <v>188</v>
      </c>
    </row>
    <row r="4866" spans="1:2" x14ac:dyDescent="0.3">
      <c r="A4866" t="s">
        <v>766</v>
      </c>
      <c r="B4866" t="s">
        <v>173</v>
      </c>
    </row>
    <row r="4867" spans="1:2" x14ac:dyDescent="0.3">
      <c r="A4867" t="s">
        <v>1813</v>
      </c>
      <c r="B4867" t="s">
        <v>188</v>
      </c>
    </row>
    <row r="4868" spans="1:2" x14ac:dyDescent="0.3">
      <c r="A4868" t="s">
        <v>615</v>
      </c>
      <c r="B4868" t="s">
        <v>188</v>
      </c>
    </row>
    <row r="4869" spans="1:2" x14ac:dyDescent="0.3">
      <c r="A4869" t="s">
        <v>1600</v>
      </c>
      <c r="B4869" t="s">
        <v>188</v>
      </c>
    </row>
    <row r="4870" spans="1:2" x14ac:dyDescent="0.3">
      <c r="A4870" t="s">
        <v>4217</v>
      </c>
      <c r="B4870" t="s">
        <v>188</v>
      </c>
    </row>
    <row r="4871" spans="1:2" x14ac:dyDescent="0.3">
      <c r="A4871" t="s">
        <v>3280</v>
      </c>
      <c r="B4871" t="s">
        <v>188</v>
      </c>
    </row>
    <row r="4872" spans="1:2" x14ac:dyDescent="0.3">
      <c r="A4872" t="s">
        <v>1741</v>
      </c>
      <c r="B4872" t="s">
        <v>188</v>
      </c>
    </row>
    <row r="4873" spans="1:2" x14ac:dyDescent="0.3">
      <c r="A4873" t="s">
        <v>1739</v>
      </c>
      <c r="B4873" t="s">
        <v>1740</v>
      </c>
    </row>
    <row r="4874" spans="1:2" x14ac:dyDescent="0.3">
      <c r="A4874" t="s">
        <v>2164</v>
      </c>
      <c r="B4874" t="s">
        <v>188</v>
      </c>
    </row>
    <row r="4875" spans="1:2" x14ac:dyDescent="0.3">
      <c r="A4875" t="s">
        <v>1995</v>
      </c>
      <c r="B4875" t="s">
        <v>173</v>
      </c>
    </row>
    <row r="4876" spans="1:2" x14ac:dyDescent="0.3">
      <c r="A4876" t="s">
        <v>2224</v>
      </c>
      <c r="B4876" t="s">
        <v>173</v>
      </c>
    </row>
    <row r="4877" spans="1:2" x14ac:dyDescent="0.3">
      <c r="A4877" t="s">
        <v>2785</v>
      </c>
      <c r="B4877" t="s">
        <v>188</v>
      </c>
    </row>
    <row r="4878" spans="1:2" x14ac:dyDescent="0.3">
      <c r="A4878" t="s">
        <v>3492</v>
      </c>
      <c r="B4878" t="s">
        <v>188</v>
      </c>
    </row>
    <row r="4879" spans="1:2" x14ac:dyDescent="0.3">
      <c r="A4879" t="s">
        <v>3493</v>
      </c>
      <c r="B4879" t="s">
        <v>188</v>
      </c>
    </row>
    <row r="4880" spans="1:2" x14ac:dyDescent="0.3">
      <c r="A4880" t="s">
        <v>2165</v>
      </c>
      <c r="B4880" t="s">
        <v>188</v>
      </c>
    </row>
    <row r="4881" spans="1:2" x14ac:dyDescent="0.3">
      <c r="A4881" t="s">
        <v>2999</v>
      </c>
      <c r="B4881" t="s">
        <v>188</v>
      </c>
    </row>
    <row r="4882" spans="1:2" x14ac:dyDescent="0.3">
      <c r="A4882" t="s">
        <v>1999</v>
      </c>
      <c r="B4882" t="s">
        <v>188</v>
      </c>
    </row>
    <row r="4883" spans="1:2" x14ac:dyDescent="0.3">
      <c r="A4883" t="s">
        <v>2819</v>
      </c>
      <c r="B4883" t="s">
        <v>188</v>
      </c>
    </row>
    <row r="4884" spans="1:2" x14ac:dyDescent="0.3">
      <c r="A4884" t="s">
        <v>1128</v>
      </c>
      <c r="B4884" t="s">
        <v>188</v>
      </c>
    </row>
    <row r="4885" spans="1:2" x14ac:dyDescent="0.3">
      <c r="A4885" t="s">
        <v>2172</v>
      </c>
      <c r="B4885" t="s">
        <v>188</v>
      </c>
    </row>
    <row r="4886" spans="1:2" x14ac:dyDescent="0.3">
      <c r="A4886" t="s">
        <v>4575</v>
      </c>
      <c r="B4886" t="s">
        <v>188</v>
      </c>
    </row>
    <row r="4887" spans="1:2" x14ac:dyDescent="0.3">
      <c r="A4887" t="s">
        <v>616</v>
      </c>
      <c r="B4887" t="s">
        <v>188</v>
      </c>
    </row>
    <row r="4888" spans="1:2" x14ac:dyDescent="0.3">
      <c r="A4888" t="s">
        <v>3491</v>
      </c>
      <c r="B4888" t="s">
        <v>188</v>
      </c>
    </row>
    <row r="4889" spans="1:2" x14ac:dyDescent="0.3">
      <c r="A4889" t="s">
        <v>2168</v>
      </c>
      <c r="B4889" t="s">
        <v>188</v>
      </c>
    </row>
    <row r="4890" spans="1:2" x14ac:dyDescent="0.3">
      <c r="A4890" t="s">
        <v>2223</v>
      </c>
      <c r="B4890" t="s">
        <v>151</v>
      </c>
    </row>
    <row r="4891" spans="1:2" x14ac:dyDescent="0.3">
      <c r="A4891" t="s">
        <v>2222</v>
      </c>
      <c r="B4891" t="s">
        <v>151</v>
      </c>
    </row>
    <row r="4892" spans="1:2" x14ac:dyDescent="0.3">
      <c r="A4892" t="s">
        <v>2221</v>
      </c>
      <c r="B4892" t="s">
        <v>151</v>
      </c>
    </row>
    <row r="4893" spans="1:2" x14ac:dyDescent="0.3">
      <c r="A4893" t="s">
        <v>2035</v>
      </c>
      <c r="B4893" t="s">
        <v>173</v>
      </c>
    </row>
    <row r="4894" spans="1:2" x14ac:dyDescent="0.3">
      <c r="A4894" t="s">
        <v>1606</v>
      </c>
      <c r="B4894" t="s">
        <v>188</v>
      </c>
    </row>
    <row r="4895" spans="1:2" x14ac:dyDescent="0.3">
      <c r="A4895" t="s">
        <v>2162</v>
      </c>
      <c r="B4895" t="s">
        <v>2163</v>
      </c>
    </row>
    <row r="4896" spans="1:2" x14ac:dyDescent="0.3">
      <c r="A4896" t="s">
        <v>613</v>
      </c>
      <c r="B4896" t="s">
        <v>188</v>
      </c>
    </row>
    <row r="4897" spans="1:2" x14ac:dyDescent="0.3">
      <c r="A4897" t="s">
        <v>612</v>
      </c>
      <c r="B4897" t="s">
        <v>596</v>
      </c>
    </row>
    <row r="4898" spans="1:2" x14ac:dyDescent="0.3">
      <c r="A4898" t="s">
        <v>330</v>
      </c>
      <c r="B4898" t="s">
        <v>188</v>
      </c>
    </row>
    <row r="4899" spans="1:2" x14ac:dyDescent="0.3">
      <c r="A4899" t="s">
        <v>2166</v>
      </c>
      <c r="B4899" t="s">
        <v>188</v>
      </c>
    </row>
    <row r="4900" spans="1:2" x14ac:dyDescent="0.3">
      <c r="A4900" t="s">
        <v>1488</v>
      </c>
      <c r="B4900" t="s">
        <v>188</v>
      </c>
    </row>
    <row r="4901" spans="1:2" x14ac:dyDescent="0.3">
      <c r="A4901" t="s">
        <v>2167</v>
      </c>
      <c r="B4901" t="s">
        <v>151</v>
      </c>
    </row>
    <row r="4902" spans="1:2" x14ac:dyDescent="0.3">
      <c r="A4902" t="s">
        <v>614</v>
      </c>
      <c r="B4902" t="s">
        <v>188</v>
      </c>
    </row>
    <row r="4903" spans="1:2" x14ac:dyDescent="0.3">
      <c r="A4903" t="s">
        <v>1865</v>
      </c>
      <c r="B4903" t="s">
        <v>188</v>
      </c>
    </row>
    <row r="4904" spans="1:2" x14ac:dyDescent="0.3">
      <c r="A4904" t="s">
        <v>3301</v>
      </c>
      <c r="B4904" t="s">
        <v>188</v>
      </c>
    </row>
    <row r="4905" spans="1:2" x14ac:dyDescent="0.3">
      <c r="A4905" t="s">
        <v>3062</v>
      </c>
      <c r="B4905" t="s">
        <v>188</v>
      </c>
    </row>
    <row r="4906" spans="1:2" x14ac:dyDescent="0.3">
      <c r="A4906" t="s">
        <v>1129</v>
      </c>
      <c r="B4906" t="s">
        <v>188</v>
      </c>
    </row>
    <row r="4907" spans="1:2" x14ac:dyDescent="0.3">
      <c r="A4907" t="s">
        <v>3695</v>
      </c>
      <c r="B4907" t="s">
        <v>3397</v>
      </c>
    </row>
    <row r="4908" spans="1:2" x14ac:dyDescent="0.3">
      <c r="A4908" t="s">
        <v>1812</v>
      </c>
      <c r="B4908" t="s">
        <v>188</v>
      </c>
    </row>
    <row r="4909" spans="1:2" x14ac:dyDescent="0.3">
      <c r="A4909" t="s">
        <v>4786</v>
      </c>
      <c r="B4909" t="s">
        <v>188</v>
      </c>
    </row>
    <row r="4910" spans="1:2" x14ac:dyDescent="0.3">
      <c r="A4910" t="s">
        <v>4768</v>
      </c>
      <c r="B4910" t="s">
        <v>188</v>
      </c>
    </row>
    <row r="4911" spans="1:2" x14ac:dyDescent="0.3">
      <c r="A4911" t="s">
        <v>2227</v>
      </c>
      <c r="B4911" t="s">
        <v>188</v>
      </c>
    </row>
    <row r="4912" spans="1:2" x14ac:dyDescent="0.3">
      <c r="A4912" t="s">
        <v>2490</v>
      </c>
      <c r="B4912" t="s">
        <v>188</v>
      </c>
    </row>
    <row r="4913" spans="1:2" x14ac:dyDescent="0.3">
      <c r="A4913" t="s">
        <v>1886</v>
      </c>
      <c r="B4913" t="s">
        <v>188</v>
      </c>
    </row>
    <row r="4914" spans="1:2" x14ac:dyDescent="0.3">
      <c r="A4914" t="s">
        <v>1130</v>
      </c>
      <c r="B4914" t="s">
        <v>188</v>
      </c>
    </row>
    <row r="4915" spans="1:2" x14ac:dyDescent="0.3">
      <c r="A4915" t="s">
        <v>2488</v>
      </c>
      <c r="B4915" t="s">
        <v>188</v>
      </c>
    </row>
    <row r="4916" spans="1:2" x14ac:dyDescent="0.3">
      <c r="A4916" t="s">
        <v>2228</v>
      </c>
      <c r="B4916" t="s">
        <v>188</v>
      </c>
    </row>
    <row r="4917" spans="1:2" x14ac:dyDescent="0.3">
      <c r="A4917" t="s">
        <v>2226</v>
      </c>
      <c r="B4917" t="s">
        <v>188</v>
      </c>
    </row>
    <row r="4918" spans="1:2" x14ac:dyDescent="0.3">
      <c r="A4918" t="s">
        <v>3510</v>
      </c>
      <c r="B4918" t="s">
        <v>188</v>
      </c>
    </row>
    <row r="4919" spans="1:2" x14ac:dyDescent="0.3">
      <c r="A4919" t="s">
        <v>3513</v>
      </c>
      <c r="B4919" t="s">
        <v>188</v>
      </c>
    </row>
    <row r="4920" spans="1:2" x14ac:dyDescent="0.3">
      <c r="A4920" t="s">
        <v>2225</v>
      </c>
      <c r="B4920" t="s">
        <v>173</v>
      </c>
    </row>
    <row r="4921" spans="1:2" x14ac:dyDescent="0.3">
      <c r="A4921" t="s">
        <v>2818</v>
      </c>
      <c r="B4921" t="s">
        <v>188</v>
      </c>
    </row>
    <row r="4922" spans="1:2" x14ac:dyDescent="0.3">
      <c r="A4922" t="s">
        <v>594</v>
      </c>
      <c r="B4922" t="s">
        <v>188</v>
      </c>
    </row>
    <row r="4923" spans="1:2" x14ac:dyDescent="0.3">
      <c r="A4923" t="s">
        <v>2099</v>
      </c>
      <c r="B4923" t="s">
        <v>151</v>
      </c>
    </row>
    <row r="4924" spans="1:2" x14ac:dyDescent="0.3">
      <c r="A4924" t="s">
        <v>2036</v>
      </c>
      <c r="B4924" t="s">
        <v>151</v>
      </c>
    </row>
    <row r="4925" spans="1:2" x14ac:dyDescent="0.3">
      <c r="A4925" t="s">
        <v>3623</v>
      </c>
      <c r="B4925" t="s">
        <v>188</v>
      </c>
    </row>
    <row r="4926" spans="1:2" x14ac:dyDescent="0.3">
      <c r="A4926" t="s">
        <v>2161</v>
      </c>
      <c r="B4926" t="s">
        <v>188</v>
      </c>
    </row>
    <row r="4927" spans="1:2" x14ac:dyDescent="0.3">
      <c r="A4927" t="s">
        <v>1822</v>
      </c>
    </row>
    <row r="4928" spans="1:2" x14ac:dyDescent="0.3">
      <c r="A4928" t="s">
        <v>913</v>
      </c>
      <c r="B4928" t="s">
        <v>188</v>
      </c>
    </row>
    <row r="4929" spans="1:2" x14ac:dyDescent="0.3">
      <c r="A4929" t="s">
        <v>2000</v>
      </c>
      <c r="B4929" t="s">
        <v>188</v>
      </c>
    </row>
    <row r="4930" spans="1:2" x14ac:dyDescent="0.3">
      <c r="A4930" t="s">
        <v>1988</v>
      </c>
      <c r="B4930" t="s">
        <v>188</v>
      </c>
    </row>
    <row r="4931" spans="1:2" x14ac:dyDescent="0.3">
      <c r="A4931" t="s">
        <v>4640</v>
      </c>
      <c r="B4931" t="s">
        <v>188</v>
      </c>
    </row>
    <row r="4932" spans="1:2" x14ac:dyDescent="0.3">
      <c r="A4932" t="s">
        <v>617</v>
      </c>
      <c r="B4932" t="s">
        <v>188</v>
      </c>
    </row>
    <row r="4933" spans="1:2" x14ac:dyDescent="0.3">
      <c r="A4933" t="s">
        <v>3482</v>
      </c>
      <c r="B4933" t="s">
        <v>596</v>
      </c>
    </row>
    <row r="4934" spans="1:2" x14ac:dyDescent="0.3">
      <c r="A4934" t="s">
        <v>595</v>
      </c>
      <c r="B4934" t="s">
        <v>596</v>
      </c>
    </row>
    <row r="4935" spans="1:2" x14ac:dyDescent="0.3">
      <c r="A4935" t="s">
        <v>4314</v>
      </c>
      <c r="B4935" t="s">
        <v>1081</v>
      </c>
    </row>
    <row r="4936" spans="1:2" x14ac:dyDescent="0.3">
      <c r="A4936" t="s">
        <v>4161</v>
      </c>
      <c r="B4936" t="s">
        <v>246</v>
      </c>
    </row>
    <row r="4937" spans="1:2" x14ac:dyDescent="0.3">
      <c r="A4937" t="s">
        <v>3546</v>
      </c>
      <c r="B4937" t="s">
        <v>246</v>
      </c>
    </row>
    <row r="4938" spans="1:2" x14ac:dyDescent="0.3">
      <c r="A4938" t="s">
        <v>3624</v>
      </c>
      <c r="B4938" t="s">
        <v>132</v>
      </c>
    </row>
    <row r="4939" spans="1:2" x14ac:dyDescent="0.3">
      <c r="A4939" t="s">
        <v>3200</v>
      </c>
      <c r="B4939" t="s">
        <v>116</v>
      </c>
    </row>
    <row r="4940" spans="1:2" x14ac:dyDescent="0.3">
      <c r="A4940" t="s">
        <v>3205</v>
      </c>
      <c r="B4940" t="s">
        <v>116</v>
      </c>
    </row>
    <row r="4941" spans="1:2" x14ac:dyDescent="0.3">
      <c r="A4941" t="s">
        <v>3201</v>
      </c>
      <c r="B4941" t="s">
        <v>116</v>
      </c>
    </row>
    <row r="4942" spans="1:2" x14ac:dyDescent="0.3">
      <c r="A4942" t="s">
        <v>3625</v>
      </c>
      <c r="B4942" t="s">
        <v>116</v>
      </c>
    </row>
    <row r="4943" spans="1:2" x14ac:dyDescent="0.3">
      <c r="A4943" t="s">
        <v>4579</v>
      </c>
      <c r="B4943" t="s">
        <v>116</v>
      </c>
    </row>
    <row r="4944" spans="1:2" x14ac:dyDescent="0.3">
      <c r="A4944" t="s">
        <v>2597</v>
      </c>
      <c r="B4944" t="s">
        <v>116</v>
      </c>
    </row>
    <row r="4945" spans="1:2" x14ac:dyDescent="0.3">
      <c r="A4945" t="s">
        <v>2598</v>
      </c>
      <c r="B4945" t="s">
        <v>2599</v>
      </c>
    </row>
    <row r="4946" spans="1:2" x14ac:dyDescent="0.3">
      <c r="A4946" t="s">
        <v>2487</v>
      </c>
      <c r="B4946" t="s">
        <v>116</v>
      </c>
    </row>
    <row r="4947" spans="1:2" x14ac:dyDescent="0.3">
      <c r="A4947" t="s">
        <v>3300</v>
      </c>
      <c r="B4947" t="s">
        <v>246</v>
      </c>
    </row>
    <row r="4948" spans="1:2" x14ac:dyDescent="0.3">
      <c r="A4948" t="s">
        <v>1819</v>
      </c>
    </row>
    <row r="4949" spans="1:2" x14ac:dyDescent="0.3">
      <c r="A4949" t="s">
        <v>4162</v>
      </c>
      <c r="B4949" t="s">
        <v>246</v>
      </c>
    </row>
    <row r="4950" spans="1:2" x14ac:dyDescent="0.3">
      <c r="A4950" t="s">
        <v>658</v>
      </c>
      <c r="B4950" t="s">
        <v>659</v>
      </c>
    </row>
    <row r="4951" spans="1:2" x14ac:dyDescent="0.3">
      <c r="A4951" t="s">
        <v>660</v>
      </c>
      <c r="B4951" t="s">
        <v>246</v>
      </c>
    </row>
    <row r="4952" spans="1:2" x14ac:dyDescent="0.3">
      <c r="A4952" t="s">
        <v>3120</v>
      </c>
      <c r="B4952" t="s">
        <v>246</v>
      </c>
    </row>
    <row r="4953" spans="1:2" x14ac:dyDescent="0.3">
      <c r="A4953" t="s">
        <v>2666</v>
      </c>
      <c r="B4953" t="s">
        <v>568</v>
      </c>
    </row>
    <row r="4954" spans="1:2" x14ac:dyDescent="0.3">
      <c r="A4954" t="s">
        <v>2938</v>
      </c>
      <c r="B4954" t="s">
        <v>363</v>
      </c>
    </row>
    <row r="4955" spans="1:2" x14ac:dyDescent="0.3">
      <c r="A4955" t="s">
        <v>2939</v>
      </c>
      <c r="B4955" t="s">
        <v>363</v>
      </c>
    </row>
    <row r="4956" spans="1:2" x14ac:dyDescent="0.3">
      <c r="A4956" t="s">
        <v>3489</v>
      </c>
      <c r="B4956" t="s">
        <v>116</v>
      </c>
    </row>
    <row r="4957" spans="1:2" x14ac:dyDescent="0.3">
      <c r="A4957" t="s">
        <v>3490</v>
      </c>
      <c r="B4957" t="s">
        <v>116</v>
      </c>
    </row>
    <row r="4958" spans="1:2" x14ac:dyDescent="0.3">
      <c r="A4958" t="s">
        <v>2366</v>
      </c>
      <c r="B4958" t="s">
        <v>2367</v>
      </c>
    </row>
    <row r="4959" spans="1:2" x14ac:dyDescent="0.3">
      <c r="A4959" t="s">
        <v>2368</v>
      </c>
      <c r="B4959" t="s">
        <v>363</v>
      </c>
    </row>
    <row r="4960" spans="1:2" x14ac:dyDescent="0.3">
      <c r="A4960" t="s">
        <v>1078</v>
      </c>
      <c r="B4960" t="s">
        <v>246</v>
      </c>
    </row>
    <row r="4961" spans="1:2" x14ac:dyDescent="0.3">
      <c r="A4961" t="s">
        <v>389</v>
      </c>
      <c r="B4961" t="s">
        <v>246</v>
      </c>
    </row>
    <row r="4962" spans="1:2" x14ac:dyDescent="0.3">
      <c r="A4962" t="s">
        <v>1079</v>
      </c>
      <c r="B4962" t="s">
        <v>246</v>
      </c>
    </row>
    <row r="4963" spans="1:2" x14ac:dyDescent="0.3">
      <c r="A4963" t="s">
        <v>390</v>
      </c>
      <c r="B4963" t="s">
        <v>246</v>
      </c>
    </row>
    <row r="4964" spans="1:2" x14ac:dyDescent="0.3">
      <c r="A4964" t="s">
        <v>4614</v>
      </c>
      <c r="B4964" t="s">
        <v>116</v>
      </c>
    </row>
    <row r="4965" spans="1:2" x14ac:dyDescent="0.3">
      <c r="A4965" t="s">
        <v>3626</v>
      </c>
      <c r="B4965" t="s">
        <v>116</v>
      </c>
    </row>
    <row r="4966" spans="1:2" x14ac:dyDescent="0.3">
      <c r="A4966" t="s">
        <v>2484</v>
      </c>
      <c r="B4966" t="s">
        <v>116</v>
      </c>
    </row>
    <row r="4967" spans="1:2" x14ac:dyDescent="0.3">
      <c r="A4967" t="s">
        <v>3483</v>
      </c>
      <c r="B4967" t="s">
        <v>116</v>
      </c>
    </row>
    <row r="4968" spans="1:2" x14ac:dyDescent="0.3">
      <c r="A4968" t="s">
        <v>3484</v>
      </c>
      <c r="B4968" t="s">
        <v>1319</v>
      </c>
    </row>
    <row r="4969" spans="1:2" x14ac:dyDescent="0.3">
      <c r="A4969" t="s">
        <v>3246</v>
      </c>
      <c r="B4969" t="s">
        <v>116</v>
      </c>
    </row>
    <row r="4970" spans="1:2" x14ac:dyDescent="0.3">
      <c r="A4970" t="s">
        <v>386</v>
      </c>
      <c r="B4970" t="s">
        <v>387</v>
      </c>
    </row>
    <row r="4971" spans="1:2" x14ac:dyDescent="0.3">
      <c r="A4971" t="s">
        <v>3322</v>
      </c>
      <c r="B4971" t="s">
        <v>366</v>
      </c>
    </row>
    <row r="4972" spans="1:2" x14ac:dyDescent="0.3">
      <c r="A4972" t="s">
        <v>2048</v>
      </c>
      <c r="B4972" t="s">
        <v>116</v>
      </c>
    </row>
    <row r="4973" spans="1:2" x14ac:dyDescent="0.3">
      <c r="A4973" t="s">
        <v>3759</v>
      </c>
      <c r="B4973" t="s">
        <v>116</v>
      </c>
    </row>
    <row r="4974" spans="1:2" x14ac:dyDescent="0.3">
      <c r="A4974" t="s">
        <v>4462</v>
      </c>
      <c r="B4974" t="s">
        <v>116</v>
      </c>
    </row>
    <row r="4975" spans="1:2" x14ac:dyDescent="0.3">
      <c r="A4975" t="s">
        <v>3206</v>
      </c>
      <c r="B4975" t="s">
        <v>116</v>
      </c>
    </row>
    <row r="4976" spans="1:2" x14ac:dyDescent="0.3">
      <c r="A4976" t="s">
        <v>3207</v>
      </c>
      <c r="B4976" t="s">
        <v>363</v>
      </c>
    </row>
    <row r="4977" spans="1:2" x14ac:dyDescent="0.3">
      <c r="A4977" t="s">
        <v>4667</v>
      </c>
      <c r="B4977" t="s">
        <v>363</v>
      </c>
    </row>
    <row r="4978" spans="1:2" x14ac:dyDescent="0.3">
      <c r="A4978" t="s">
        <v>2049</v>
      </c>
      <c r="B4978" t="s">
        <v>363</v>
      </c>
    </row>
    <row r="4979" spans="1:2" x14ac:dyDescent="0.3">
      <c r="A4979" t="s">
        <v>4666</v>
      </c>
      <c r="B4979" t="s">
        <v>363</v>
      </c>
    </row>
    <row r="4980" spans="1:2" x14ac:dyDescent="0.3">
      <c r="A4980" t="s">
        <v>4668</v>
      </c>
      <c r="B4980" t="s">
        <v>363</v>
      </c>
    </row>
    <row r="4981" spans="1:2" x14ac:dyDescent="0.3">
      <c r="A4981" t="s">
        <v>4669</v>
      </c>
      <c r="B4981" t="s">
        <v>363</v>
      </c>
    </row>
    <row r="4982" spans="1:2" x14ac:dyDescent="0.3">
      <c r="A4982" t="s">
        <v>4670</v>
      </c>
      <c r="B4982" t="s">
        <v>363</v>
      </c>
    </row>
    <row r="4983" spans="1:2" x14ac:dyDescent="0.3">
      <c r="A4983" t="s">
        <v>383</v>
      </c>
      <c r="B4983" t="s">
        <v>353</v>
      </c>
    </row>
    <row r="4984" spans="1:2" x14ac:dyDescent="0.3">
      <c r="A4984" t="s">
        <v>4671</v>
      </c>
      <c r="B4984" t="s">
        <v>363</v>
      </c>
    </row>
    <row r="4985" spans="1:2" x14ac:dyDescent="0.3">
      <c r="A4985" t="s">
        <v>4672</v>
      </c>
      <c r="B4985" t="s">
        <v>363</v>
      </c>
    </row>
    <row r="4986" spans="1:2" x14ac:dyDescent="0.3">
      <c r="A4986" t="s">
        <v>4673</v>
      </c>
      <c r="B4986" t="s">
        <v>363</v>
      </c>
    </row>
    <row r="4987" spans="1:2" x14ac:dyDescent="0.3">
      <c r="A4987" t="s">
        <v>4674</v>
      </c>
      <c r="B4987" t="s">
        <v>363</v>
      </c>
    </row>
    <row r="4988" spans="1:2" x14ac:dyDescent="0.3">
      <c r="A4988" t="s">
        <v>3485</v>
      </c>
      <c r="B4988" t="s">
        <v>363</v>
      </c>
    </row>
    <row r="4989" spans="1:2" x14ac:dyDescent="0.3">
      <c r="A4989" t="s">
        <v>4675</v>
      </c>
      <c r="B4989" t="s">
        <v>363</v>
      </c>
    </row>
    <row r="4990" spans="1:2" x14ac:dyDescent="0.3">
      <c r="A4990" t="s">
        <v>2730</v>
      </c>
      <c r="B4990" t="s">
        <v>2731</v>
      </c>
    </row>
    <row r="4991" spans="1:2" x14ac:dyDescent="0.3">
      <c r="A4991" t="s">
        <v>4109</v>
      </c>
      <c r="B4991" t="s">
        <v>353</v>
      </c>
    </row>
    <row r="4992" spans="1:2" x14ac:dyDescent="0.3">
      <c r="A4992" t="s">
        <v>3208</v>
      </c>
      <c r="B4992" t="s">
        <v>116</v>
      </c>
    </row>
    <row r="4993" spans="1:2" x14ac:dyDescent="0.3">
      <c r="A4993" t="s">
        <v>3255</v>
      </c>
      <c r="B4993" t="s">
        <v>116</v>
      </c>
    </row>
    <row r="4994" spans="1:2" x14ac:dyDescent="0.3">
      <c r="A4994" t="s">
        <v>3209</v>
      </c>
      <c r="B4994" t="s">
        <v>116</v>
      </c>
    </row>
    <row r="4995" spans="1:2" x14ac:dyDescent="0.3">
      <c r="A4995" t="s">
        <v>3886</v>
      </c>
      <c r="B4995" t="s">
        <v>363</v>
      </c>
    </row>
    <row r="4996" spans="1:2" x14ac:dyDescent="0.3">
      <c r="A4996" t="s">
        <v>3887</v>
      </c>
      <c r="B4996" t="s">
        <v>363</v>
      </c>
    </row>
    <row r="4997" spans="1:2" x14ac:dyDescent="0.3">
      <c r="A4997" t="s">
        <v>4350</v>
      </c>
      <c r="B4997" t="s">
        <v>363</v>
      </c>
    </row>
    <row r="4998" spans="1:2" x14ac:dyDescent="0.3">
      <c r="A4998" t="s">
        <v>2486</v>
      </c>
      <c r="B4998" t="s">
        <v>363</v>
      </c>
    </row>
    <row r="4999" spans="1:2" x14ac:dyDescent="0.3">
      <c r="A4999" t="s">
        <v>2491</v>
      </c>
      <c r="B4999" t="s">
        <v>363</v>
      </c>
    </row>
    <row r="5000" spans="1:2" x14ac:dyDescent="0.3">
      <c r="A5000" t="s">
        <v>2796</v>
      </c>
      <c r="B5000" t="s">
        <v>363</v>
      </c>
    </row>
    <row r="5001" spans="1:2" x14ac:dyDescent="0.3">
      <c r="A5001" t="s">
        <v>4648</v>
      </c>
      <c r="B5001" t="s">
        <v>363</v>
      </c>
    </row>
    <row r="5002" spans="1:2" x14ac:dyDescent="0.3">
      <c r="A5002" t="s">
        <v>2137</v>
      </c>
      <c r="B5002" t="s">
        <v>116</v>
      </c>
    </row>
    <row r="5003" spans="1:2" x14ac:dyDescent="0.3">
      <c r="A5003" t="s">
        <v>4464</v>
      </c>
      <c r="B5003" t="s">
        <v>363</v>
      </c>
    </row>
    <row r="5004" spans="1:2" x14ac:dyDescent="0.3">
      <c r="A5004" t="s">
        <v>2310</v>
      </c>
      <c r="B5004" t="s">
        <v>246</v>
      </c>
    </row>
    <row r="5005" spans="1:2" x14ac:dyDescent="0.3">
      <c r="A5005" t="s">
        <v>3930</v>
      </c>
      <c r="B5005" t="s">
        <v>246</v>
      </c>
    </row>
    <row r="5006" spans="1:2" x14ac:dyDescent="0.3">
      <c r="A5006" t="s">
        <v>4804</v>
      </c>
      <c r="B5006" t="s">
        <v>363</v>
      </c>
    </row>
    <row r="5007" spans="1:2" x14ac:dyDescent="0.3">
      <c r="A5007" t="s">
        <v>4759</v>
      </c>
      <c r="B5007" t="s">
        <v>363</v>
      </c>
    </row>
    <row r="5008" spans="1:2" x14ac:dyDescent="0.3">
      <c r="A5008" t="s">
        <v>3251</v>
      </c>
      <c r="B5008" t="s">
        <v>363</v>
      </c>
    </row>
    <row r="5009" spans="1:2" x14ac:dyDescent="0.3">
      <c r="A5009" t="s">
        <v>4761</v>
      </c>
      <c r="B5009" t="s">
        <v>363</v>
      </c>
    </row>
    <row r="5010" spans="1:2" x14ac:dyDescent="0.3">
      <c r="A5010" t="s">
        <v>4027</v>
      </c>
      <c r="B5010" t="s">
        <v>4028</v>
      </c>
    </row>
    <row r="5011" spans="1:2" x14ac:dyDescent="0.3">
      <c r="A5011" t="s">
        <v>3945</v>
      </c>
      <c r="B5011" t="s">
        <v>3946</v>
      </c>
    </row>
    <row r="5012" spans="1:2" x14ac:dyDescent="0.3">
      <c r="A5012" t="s">
        <v>2935</v>
      </c>
      <c r="B5012" t="s">
        <v>2936</v>
      </c>
    </row>
    <row r="5013" spans="1:2" x14ac:dyDescent="0.3">
      <c r="A5013" t="s">
        <v>2691</v>
      </c>
      <c r="B5013" t="s">
        <v>363</v>
      </c>
    </row>
    <row r="5014" spans="1:2" x14ac:dyDescent="0.3">
      <c r="A5014" t="s">
        <v>3627</v>
      </c>
      <c r="B5014" t="s">
        <v>116</v>
      </c>
    </row>
    <row r="5015" spans="1:2" x14ac:dyDescent="0.3">
      <c r="A5015" t="s">
        <v>3628</v>
      </c>
      <c r="B5015" t="s">
        <v>363</v>
      </c>
    </row>
    <row r="5016" spans="1:2" x14ac:dyDescent="0.3">
      <c r="A5016" t="s">
        <v>816</v>
      </c>
    </row>
    <row r="5017" spans="1:2" x14ac:dyDescent="0.3">
      <c r="A5017" t="s">
        <v>438</v>
      </c>
      <c r="B5017" t="s">
        <v>439</v>
      </c>
    </row>
    <row r="5018" spans="1:2" x14ac:dyDescent="0.3">
      <c r="A5018" t="s">
        <v>4273</v>
      </c>
      <c r="B5018" t="s">
        <v>4274</v>
      </c>
    </row>
    <row r="5019" spans="1:2" x14ac:dyDescent="0.3">
      <c r="A5019" t="s">
        <v>1339</v>
      </c>
      <c r="B5019" t="s">
        <v>1340</v>
      </c>
    </row>
    <row r="5020" spans="1:2" x14ac:dyDescent="0.3">
      <c r="A5020" t="s">
        <v>1335</v>
      </c>
      <c r="B5020" t="s">
        <v>1336</v>
      </c>
    </row>
    <row r="5021" spans="1:2" x14ac:dyDescent="0.3">
      <c r="A5021" t="s">
        <v>1337</v>
      </c>
      <c r="B5021" t="s">
        <v>1338</v>
      </c>
    </row>
    <row r="5022" spans="1:2" x14ac:dyDescent="0.3">
      <c r="A5022" t="s">
        <v>3506</v>
      </c>
      <c r="B5022" t="s">
        <v>3507</v>
      </c>
    </row>
    <row r="5023" spans="1:2" x14ac:dyDescent="0.3">
      <c r="A5023" t="s">
        <v>3701</v>
      </c>
      <c r="B5023" t="s">
        <v>2</v>
      </c>
    </row>
    <row r="5024" spans="1:2" x14ac:dyDescent="0.3">
      <c r="A5024" t="s">
        <v>4104</v>
      </c>
      <c r="B5024" t="s">
        <v>2</v>
      </c>
    </row>
    <row r="5025" spans="1:2" x14ac:dyDescent="0.3">
      <c r="A5025" t="s">
        <v>3378</v>
      </c>
      <c r="B5025" t="s">
        <v>119</v>
      </c>
    </row>
    <row r="5026" spans="1:2" x14ac:dyDescent="0.3">
      <c r="A5026" t="s">
        <v>2594</v>
      </c>
      <c r="B5026" t="s">
        <v>2593</v>
      </c>
    </row>
    <row r="5027" spans="1:2" x14ac:dyDescent="0.3">
      <c r="A5027" t="s">
        <v>2592</v>
      </c>
      <c r="B5027" t="s">
        <v>2593</v>
      </c>
    </row>
    <row r="5028" spans="1:2" x14ac:dyDescent="0.3">
      <c r="A5028" t="s">
        <v>3377</v>
      </c>
      <c r="B5028" t="s">
        <v>119</v>
      </c>
    </row>
    <row r="5029" spans="1:2" x14ac:dyDescent="0.3">
      <c r="A5029" t="s">
        <v>1270</v>
      </c>
      <c r="B5029" t="s">
        <v>483</v>
      </c>
    </row>
    <row r="5030" spans="1:2" x14ac:dyDescent="0.3">
      <c r="A5030" t="s">
        <v>3888</v>
      </c>
      <c r="B5030" t="s">
        <v>363</v>
      </c>
    </row>
    <row r="5031" spans="1:2" x14ac:dyDescent="0.3">
      <c r="A5031" t="s">
        <v>2202</v>
      </c>
      <c r="B5031" t="s">
        <v>246</v>
      </c>
    </row>
    <row r="5032" spans="1:2" x14ac:dyDescent="0.3">
      <c r="A5032" t="s">
        <v>4163</v>
      </c>
      <c r="B5032" t="s">
        <v>1414</v>
      </c>
    </row>
    <row r="5033" spans="1:2" x14ac:dyDescent="0.3">
      <c r="A5033" t="s">
        <v>2747</v>
      </c>
      <c r="B5033" t="s">
        <v>353</v>
      </c>
    </row>
    <row r="5034" spans="1:2" x14ac:dyDescent="0.3">
      <c r="A5034" t="s">
        <v>743</v>
      </c>
      <c r="B5034" t="s">
        <v>477</v>
      </c>
    </row>
    <row r="5035" spans="1:2" x14ac:dyDescent="0.3">
      <c r="A5035" t="s">
        <v>4313</v>
      </c>
      <c r="B5035" t="s">
        <v>3293</v>
      </c>
    </row>
    <row r="5036" spans="1:2" x14ac:dyDescent="0.3">
      <c r="A5036" t="s">
        <v>4283</v>
      </c>
      <c r="B5036" t="s">
        <v>188</v>
      </c>
    </row>
    <row r="5037" spans="1:2" x14ac:dyDescent="0.3">
      <c r="A5037" t="s">
        <v>2687</v>
      </c>
      <c r="B5037" t="s">
        <v>173</v>
      </c>
    </row>
    <row r="5038" spans="1:2" x14ac:dyDescent="0.3">
      <c r="A5038" t="s">
        <v>4164</v>
      </c>
      <c r="B5038" t="s">
        <v>188</v>
      </c>
    </row>
    <row r="5039" spans="1:2" x14ac:dyDescent="0.3">
      <c r="A5039" t="s">
        <v>4769</v>
      </c>
      <c r="B5039" t="s">
        <v>336</v>
      </c>
    </row>
    <row r="5040" spans="1:2" x14ac:dyDescent="0.3">
      <c r="A5040" t="s">
        <v>2568</v>
      </c>
      <c r="B5040" t="s">
        <v>2569</v>
      </c>
    </row>
    <row r="5041" spans="1:2" x14ac:dyDescent="0.3">
      <c r="A5041" t="s">
        <v>4037</v>
      </c>
      <c r="B5041" t="s">
        <v>11</v>
      </c>
    </row>
    <row r="5042" spans="1:2" x14ac:dyDescent="0.3">
      <c r="A5042" t="s">
        <v>4561</v>
      </c>
      <c r="B5042" t="s">
        <v>11</v>
      </c>
    </row>
    <row r="5043" spans="1:2" x14ac:dyDescent="0.3">
      <c r="A5043" t="s">
        <v>2160</v>
      </c>
      <c r="B5043" t="s">
        <v>11</v>
      </c>
    </row>
    <row r="5044" spans="1:2" x14ac:dyDescent="0.3">
      <c r="A5044" t="s">
        <v>3629</v>
      </c>
      <c r="B5044" t="s">
        <v>3630</v>
      </c>
    </row>
    <row r="5045" spans="1:2" x14ac:dyDescent="0.3">
      <c r="A5045" t="s">
        <v>3421</v>
      </c>
      <c r="B5045" t="s">
        <v>3422</v>
      </c>
    </row>
    <row r="5046" spans="1:2" x14ac:dyDescent="0.3">
      <c r="A5046" t="s">
        <v>1468</v>
      </c>
      <c r="B5046" t="s">
        <v>11</v>
      </c>
    </row>
    <row r="5047" spans="1:2" x14ac:dyDescent="0.3">
      <c r="A5047" t="s">
        <v>3669</v>
      </c>
      <c r="B5047" t="s">
        <v>11</v>
      </c>
    </row>
    <row r="5048" spans="1:2" x14ac:dyDescent="0.3">
      <c r="A5048" t="s">
        <v>3907</v>
      </c>
      <c r="B5048" t="s">
        <v>623</v>
      </c>
    </row>
    <row r="5049" spans="1:2" x14ac:dyDescent="0.3">
      <c r="A5049" t="s">
        <v>262</v>
      </c>
      <c r="B5049" t="s">
        <v>263</v>
      </c>
    </row>
    <row r="5050" spans="1:2" x14ac:dyDescent="0.3">
      <c r="A5050" t="s">
        <v>2093</v>
      </c>
      <c r="B5050" t="s">
        <v>2094</v>
      </c>
    </row>
    <row r="5051" spans="1:2" x14ac:dyDescent="0.3">
      <c r="A5051" t="s">
        <v>3550</v>
      </c>
      <c r="B5051" t="s">
        <v>2744</v>
      </c>
    </row>
    <row r="5052" spans="1:2" x14ac:dyDescent="0.3">
      <c r="A5052" t="s">
        <v>2664</v>
      </c>
      <c r="B5052" t="s">
        <v>278</v>
      </c>
    </row>
    <row r="5053" spans="1:2" x14ac:dyDescent="0.3">
      <c r="A5053" t="s">
        <v>721</v>
      </c>
      <c r="B5053" t="s">
        <v>635</v>
      </c>
    </row>
    <row r="5054" spans="1:2" x14ac:dyDescent="0.3">
      <c r="A5054" t="s">
        <v>488</v>
      </c>
    </row>
    <row r="5055" spans="1:2" x14ac:dyDescent="0.3">
      <c r="A5055" t="s">
        <v>4076</v>
      </c>
      <c r="B5055" t="s">
        <v>635</v>
      </c>
    </row>
    <row r="5056" spans="1:2" x14ac:dyDescent="0.3">
      <c r="A5056" t="s">
        <v>2390</v>
      </c>
      <c r="B5056" t="s">
        <v>2391</v>
      </c>
    </row>
    <row r="5057" spans="1:2" x14ac:dyDescent="0.3">
      <c r="A5057" t="s">
        <v>4420</v>
      </c>
      <c r="B5057" t="s">
        <v>4416</v>
      </c>
    </row>
    <row r="5058" spans="1:2" x14ac:dyDescent="0.3">
      <c r="A5058" t="s">
        <v>2115</v>
      </c>
      <c r="B5058" t="s">
        <v>2116</v>
      </c>
    </row>
    <row r="5059" spans="1:2" x14ac:dyDescent="0.3">
      <c r="A5059" t="s">
        <v>4730</v>
      </c>
      <c r="B5059" t="s">
        <v>4731</v>
      </c>
    </row>
    <row r="5060" spans="1:2" x14ac:dyDescent="0.3">
      <c r="A5060" t="s">
        <v>4698</v>
      </c>
      <c r="B5060" t="s">
        <v>181</v>
      </c>
    </row>
    <row r="5061" spans="1:2" x14ac:dyDescent="0.3">
      <c r="A5061" t="s">
        <v>2190</v>
      </c>
      <c r="B5061" t="s">
        <v>2191</v>
      </c>
    </row>
    <row r="5062" spans="1:2" x14ac:dyDescent="0.3">
      <c r="A5062" t="s">
        <v>454</v>
      </c>
      <c r="B5062" t="s">
        <v>181</v>
      </c>
    </row>
    <row r="5063" spans="1:2" x14ac:dyDescent="0.3">
      <c r="A5063" t="s">
        <v>2040</v>
      </c>
      <c r="B5063" t="s">
        <v>181</v>
      </c>
    </row>
    <row r="5064" spans="1:2" x14ac:dyDescent="0.3">
      <c r="A5064" t="s">
        <v>2014</v>
      </c>
      <c r="B5064" t="s">
        <v>181</v>
      </c>
    </row>
    <row r="5065" spans="1:2" x14ac:dyDescent="0.3">
      <c r="A5065" t="s">
        <v>92</v>
      </c>
      <c r="B5065" t="s">
        <v>13</v>
      </c>
    </row>
    <row r="5066" spans="1:2" x14ac:dyDescent="0.3">
      <c r="A5066" t="s">
        <v>93</v>
      </c>
      <c r="B5066" t="s">
        <v>13</v>
      </c>
    </row>
    <row r="5067" spans="1:2" x14ac:dyDescent="0.3">
      <c r="A5067" t="s">
        <v>2524</v>
      </c>
      <c r="B5067" t="s">
        <v>13</v>
      </c>
    </row>
    <row r="5068" spans="1:2" x14ac:dyDescent="0.3">
      <c r="A5068" t="s">
        <v>214</v>
      </c>
      <c r="B5068" t="s">
        <v>13</v>
      </c>
    </row>
    <row r="5069" spans="1:2" x14ac:dyDescent="0.3">
      <c r="A5069" t="s">
        <v>1716</v>
      </c>
    </row>
    <row r="5070" spans="1:2" x14ac:dyDescent="0.3">
      <c r="A5070" t="s">
        <v>2989</v>
      </c>
      <c r="B5070" t="s">
        <v>132</v>
      </c>
    </row>
    <row r="5071" spans="1:2" x14ac:dyDescent="0.3">
      <c r="A5071" t="s">
        <v>4771</v>
      </c>
      <c r="B5071" t="s">
        <v>4772</v>
      </c>
    </row>
    <row r="5072" spans="1:2" x14ac:dyDescent="0.3">
      <c r="A5072" t="s">
        <v>1034</v>
      </c>
      <c r="B5072" t="s">
        <v>956</v>
      </c>
    </row>
    <row r="5073" spans="1:2" x14ac:dyDescent="0.3">
      <c r="A5073" t="s">
        <v>4324</v>
      </c>
      <c r="B5073" t="s">
        <v>4325</v>
      </c>
    </row>
    <row r="5074" spans="1:2" x14ac:dyDescent="0.3">
      <c r="A5074" t="s">
        <v>3486</v>
      </c>
      <c r="B5074" t="s">
        <v>116</v>
      </c>
    </row>
    <row r="5075" spans="1:2" x14ac:dyDescent="0.3">
      <c r="A5075" t="s">
        <v>3487</v>
      </c>
      <c r="B5075" t="s">
        <v>246</v>
      </c>
    </row>
    <row r="5076" spans="1:2" x14ac:dyDescent="0.3">
      <c r="A5076" t="s">
        <v>3528</v>
      </c>
      <c r="B5076" t="s">
        <v>246</v>
      </c>
    </row>
    <row r="5077" spans="1:2" x14ac:dyDescent="0.3">
      <c r="A5077" t="s">
        <v>3529</v>
      </c>
      <c r="B5077" t="s">
        <v>108</v>
      </c>
    </row>
    <row r="5078" spans="1:2" x14ac:dyDescent="0.3">
      <c r="A5078" t="s">
        <v>2852</v>
      </c>
      <c r="B5078" t="s">
        <v>504</v>
      </c>
    </row>
    <row r="5079" spans="1:2" x14ac:dyDescent="0.3">
      <c r="A5079" t="s">
        <v>3419</v>
      </c>
      <c r="B5079" t="s">
        <v>406</v>
      </c>
    </row>
    <row r="5080" spans="1:2" x14ac:dyDescent="0.3">
      <c r="A5080" t="s">
        <v>969</v>
      </c>
      <c r="B5080" t="s">
        <v>970</v>
      </c>
    </row>
    <row r="5081" spans="1:2" x14ac:dyDescent="0.3">
      <c r="A5081" t="s">
        <v>2814</v>
      </c>
      <c r="B5081" t="s">
        <v>1319</v>
      </c>
    </row>
    <row r="5082" spans="1:2" x14ac:dyDescent="0.3">
      <c r="A5082" t="s">
        <v>2812</v>
      </c>
      <c r="B5082" t="s">
        <v>2813</v>
      </c>
    </row>
    <row r="5083" spans="1:2" x14ac:dyDescent="0.3">
      <c r="A5083" t="s">
        <v>1102</v>
      </c>
      <c r="B5083" t="s">
        <v>18</v>
      </c>
    </row>
    <row r="5084" spans="1:2" x14ac:dyDescent="0.3">
      <c r="A5084" t="s">
        <v>1788</v>
      </c>
      <c r="B5084" t="s">
        <v>18</v>
      </c>
    </row>
    <row r="5085" spans="1:2" x14ac:dyDescent="0.3">
      <c r="A5085" t="s">
        <v>2030</v>
      </c>
      <c r="B5085" t="s">
        <v>2031</v>
      </c>
    </row>
    <row r="5086" spans="1:2" x14ac:dyDescent="0.3">
      <c r="A5086" t="s">
        <v>855</v>
      </c>
      <c r="B5086" t="s">
        <v>856</v>
      </c>
    </row>
    <row r="5087" spans="1:2" x14ac:dyDescent="0.3">
      <c r="A5087" t="s">
        <v>3979</v>
      </c>
      <c r="B5087" t="s">
        <v>132</v>
      </c>
    </row>
    <row r="5088" spans="1:2" x14ac:dyDescent="0.3">
      <c r="A5088" t="s">
        <v>3554</v>
      </c>
      <c r="B5088" t="s">
        <v>3555</v>
      </c>
    </row>
    <row r="5089" spans="1:2" x14ac:dyDescent="0.3">
      <c r="A5089" t="s">
        <v>3919</v>
      </c>
      <c r="B5089" t="s">
        <v>3920</v>
      </c>
    </row>
    <row r="5090" spans="1:2" x14ac:dyDescent="0.3">
      <c r="A5090" t="s">
        <v>4723</v>
      </c>
      <c r="B5090" t="s">
        <v>4724</v>
      </c>
    </row>
    <row r="5091" spans="1:2" x14ac:dyDescent="0.3">
      <c r="A5091" t="s">
        <v>783</v>
      </c>
      <c r="B5091" t="s">
        <v>22</v>
      </c>
    </row>
    <row r="5092" spans="1:2" x14ac:dyDescent="0.3">
      <c r="A5092" t="s">
        <v>784</v>
      </c>
      <c r="B5092" t="s">
        <v>22</v>
      </c>
    </row>
    <row r="5093" spans="1:2" x14ac:dyDescent="0.3">
      <c r="A5093" t="s">
        <v>1294</v>
      </c>
      <c r="B5093" t="s">
        <v>1295</v>
      </c>
    </row>
    <row r="5094" spans="1:2" x14ac:dyDescent="0.3">
      <c r="A5094" t="s">
        <v>260</v>
      </c>
      <c r="B5094" t="s">
        <v>261</v>
      </c>
    </row>
    <row r="5095" spans="1:2" x14ac:dyDescent="0.3">
      <c r="A5095" t="s">
        <v>4248</v>
      </c>
      <c r="B5095" t="s">
        <v>4249</v>
      </c>
    </row>
    <row r="5096" spans="1:2" x14ac:dyDescent="0.3">
      <c r="A5096" t="s">
        <v>4244</v>
      </c>
      <c r="B5096" t="s">
        <v>366</v>
      </c>
    </row>
    <row r="5097" spans="1:2" x14ac:dyDescent="0.3">
      <c r="A5097" t="s">
        <v>4242</v>
      </c>
      <c r="B5097" t="s">
        <v>4243</v>
      </c>
    </row>
    <row r="5098" spans="1:2" x14ac:dyDescent="0.3">
      <c r="A5098" t="s">
        <v>4245</v>
      </c>
      <c r="B5098" t="s">
        <v>18</v>
      </c>
    </row>
    <row r="5099" spans="1:2" x14ac:dyDescent="0.3">
      <c r="A5099" t="s">
        <v>4246</v>
      </c>
      <c r="B5099" t="s">
        <v>4247</v>
      </c>
    </row>
    <row r="5100" spans="1:2" x14ac:dyDescent="0.3">
      <c r="A5100" t="s">
        <v>4250</v>
      </c>
      <c r="B5100" t="s">
        <v>2746</v>
      </c>
    </row>
    <row r="5101" spans="1:2" x14ac:dyDescent="0.3">
      <c r="A5101" t="s">
        <v>4008</v>
      </c>
      <c r="B5101" t="s">
        <v>4009</v>
      </c>
    </row>
    <row r="5102" spans="1:2" x14ac:dyDescent="0.3">
      <c r="A5102" t="s">
        <v>3584</v>
      </c>
      <c r="B5102" t="s">
        <v>181</v>
      </c>
    </row>
    <row r="5103" spans="1:2" x14ac:dyDescent="0.3">
      <c r="A5103" t="s">
        <v>2050</v>
      </c>
      <c r="B5103" t="s">
        <v>2051</v>
      </c>
    </row>
    <row r="5104" spans="1:2" x14ac:dyDescent="0.3">
      <c r="A5104" t="s">
        <v>2556</v>
      </c>
      <c r="B5104" t="s">
        <v>11</v>
      </c>
    </row>
    <row r="5105" spans="1:2" x14ac:dyDescent="0.3">
      <c r="A5105" t="s">
        <v>631</v>
      </c>
      <c r="B5105" t="s">
        <v>11</v>
      </c>
    </row>
    <row r="5106" spans="1:2" x14ac:dyDescent="0.3">
      <c r="A5106" t="s">
        <v>4337</v>
      </c>
      <c r="B5106" t="s">
        <v>4338</v>
      </c>
    </row>
    <row r="5107" spans="1:2" x14ac:dyDescent="0.3">
      <c r="A5107" t="s">
        <v>3854</v>
      </c>
      <c r="B5107" t="s">
        <v>11</v>
      </c>
    </row>
    <row r="5108" spans="1:2" x14ac:dyDescent="0.3">
      <c r="A5108" t="s">
        <v>4298</v>
      </c>
      <c r="B5108" t="s">
        <v>4299</v>
      </c>
    </row>
    <row r="5109" spans="1:2" x14ac:dyDescent="0.3">
      <c r="A5109" t="s">
        <v>3917</v>
      </c>
      <c r="B5109" t="s">
        <v>11</v>
      </c>
    </row>
    <row r="5110" spans="1:2" x14ac:dyDescent="0.3">
      <c r="A5110" t="s">
        <v>2991</v>
      </c>
      <c r="B5110" t="s">
        <v>11</v>
      </c>
    </row>
    <row r="5111" spans="1:2" x14ac:dyDescent="0.3">
      <c r="A5111" t="s">
        <v>3770</v>
      </c>
      <c r="B5111" t="s">
        <v>11</v>
      </c>
    </row>
    <row r="5112" spans="1:2" x14ac:dyDescent="0.3">
      <c r="A5112" t="s">
        <v>3631</v>
      </c>
      <c r="B5112" t="s">
        <v>11</v>
      </c>
    </row>
    <row r="5113" spans="1:2" x14ac:dyDescent="0.3">
      <c r="A5113" t="s">
        <v>1892</v>
      </c>
    </row>
    <row r="5114" spans="1:2" x14ac:dyDescent="0.3">
      <c r="A5114" t="s">
        <v>2615</v>
      </c>
      <c r="B5114" t="s">
        <v>170</v>
      </c>
    </row>
    <row r="5115" spans="1:2" x14ac:dyDescent="0.3">
      <c r="A5115" t="s">
        <v>4311</v>
      </c>
      <c r="B5115" t="s">
        <v>4312</v>
      </c>
    </row>
    <row r="5116" spans="1:2" x14ac:dyDescent="0.3">
      <c r="A5116" t="s">
        <v>4381</v>
      </c>
      <c r="B5116" t="s">
        <v>635</v>
      </c>
    </row>
    <row r="5117" spans="1:2" x14ac:dyDescent="0.3">
      <c r="A5117" t="s">
        <v>4284</v>
      </c>
      <c r="B5117" t="s">
        <v>635</v>
      </c>
    </row>
    <row r="5118" spans="1:2" x14ac:dyDescent="0.3">
      <c r="A5118" t="s">
        <v>1208</v>
      </c>
      <c r="B5118" t="s">
        <v>1209</v>
      </c>
    </row>
    <row r="5119" spans="1:2" x14ac:dyDescent="0.3">
      <c r="A5119" t="s">
        <v>1206</v>
      </c>
      <c r="B5119" t="s">
        <v>1207</v>
      </c>
    </row>
    <row r="5120" spans="1:2" x14ac:dyDescent="0.3">
      <c r="A5120" t="s">
        <v>1483</v>
      </c>
    </row>
    <row r="5121" spans="1:2" x14ac:dyDescent="0.3">
      <c r="A5121" t="s">
        <v>1300</v>
      </c>
      <c r="B5121" t="s">
        <v>1301</v>
      </c>
    </row>
    <row r="5122" spans="1:2" x14ac:dyDescent="0.3">
      <c r="A5122" t="s">
        <v>1795</v>
      </c>
      <c r="B5122" t="s">
        <v>173</v>
      </c>
    </row>
    <row r="5123" spans="1:2" x14ac:dyDescent="0.3">
      <c r="A5123" t="s">
        <v>1800</v>
      </c>
      <c r="B5123" t="s">
        <v>173</v>
      </c>
    </row>
    <row r="5124" spans="1:2" x14ac:dyDescent="0.3">
      <c r="A5124" t="s">
        <v>1801</v>
      </c>
      <c r="B5124" t="s">
        <v>1802</v>
      </c>
    </row>
    <row r="5125" spans="1:2" x14ac:dyDescent="0.3">
      <c r="A5125" t="s">
        <v>1796</v>
      </c>
      <c r="B5125" t="s">
        <v>173</v>
      </c>
    </row>
    <row r="5126" spans="1:2" x14ac:dyDescent="0.3">
      <c r="A5126" t="s">
        <v>1798</v>
      </c>
      <c r="B5126" t="s">
        <v>1799</v>
      </c>
    </row>
    <row r="5127" spans="1:2" x14ac:dyDescent="0.3">
      <c r="A5127" t="s">
        <v>3660</v>
      </c>
      <c r="B5127" t="s">
        <v>173</v>
      </c>
    </row>
    <row r="5128" spans="1:2" x14ac:dyDescent="0.3">
      <c r="A5128" t="s">
        <v>1794</v>
      </c>
      <c r="B5128" t="s">
        <v>173</v>
      </c>
    </row>
    <row r="5129" spans="1:2" x14ac:dyDescent="0.3">
      <c r="A5129" t="s">
        <v>1792</v>
      </c>
      <c r="B5129" t="s">
        <v>1793</v>
      </c>
    </row>
    <row r="5130" spans="1:2" x14ac:dyDescent="0.3">
      <c r="A5130" t="s">
        <v>1660</v>
      </c>
      <c r="B5130" t="s">
        <v>22</v>
      </c>
    </row>
    <row r="5131" spans="1:2" x14ac:dyDescent="0.3">
      <c r="A5131" t="s">
        <v>1276</v>
      </c>
      <c r="B5131" t="s">
        <v>1277</v>
      </c>
    </row>
    <row r="5132" spans="1:2" x14ac:dyDescent="0.3">
      <c r="A5132" t="s">
        <v>1087</v>
      </c>
      <c r="B5132" t="s">
        <v>475</v>
      </c>
    </row>
    <row r="5133" spans="1:2" x14ac:dyDescent="0.3">
      <c r="A5133" t="s">
        <v>2701</v>
      </c>
      <c r="B5133" t="s">
        <v>494</v>
      </c>
    </row>
    <row r="5134" spans="1:2" x14ac:dyDescent="0.3">
      <c r="A5134" t="s">
        <v>478</v>
      </c>
      <c r="B5134" t="s">
        <v>142</v>
      </c>
    </row>
    <row r="5135" spans="1:2" x14ac:dyDescent="0.3">
      <c r="A5135" t="s">
        <v>2241</v>
      </c>
      <c r="B5135" t="s">
        <v>494</v>
      </c>
    </row>
    <row r="5136" spans="1:2" x14ac:dyDescent="0.3">
      <c r="A5136" t="s">
        <v>141</v>
      </c>
      <c r="B5136" t="s">
        <v>142</v>
      </c>
    </row>
    <row r="5137" spans="1:2" x14ac:dyDescent="0.3">
      <c r="A5137" t="s">
        <v>3100</v>
      </c>
      <c r="B5137" t="s">
        <v>3101</v>
      </c>
    </row>
    <row r="5138" spans="1:2" x14ac:dyDescent="0.3">
      <c r="A5138" t="s">
        <v>3469</v>
      </c>
      <c r="B5138" t="s">
        <v>3470</v>
      </c>
    </row>
    <row r="5139" spans="1:2" x14ac:dyDescent="0.3">
      <c r="A5139" t="s">
        <v>1088</v>
      </c>
      <c r="B5139" t="s">
        <v>139</v>
      </c>
    </row>
    <row r="5140" spans="1:2" x14ac:dyDescent="0.3">
      <c r="A5140" t="s">
        <v>138</v>
      </c>
      <c r="B5140" t="s">
        <v>139</v>
      </c>
    </row>
    <row r="5141" spans="1:2" x14ac:dyDescent="0.3">
      <c r="A5141" t="s">
        <v>2904</v>
      </c>
      <c r="B5141" t="s">
        <v>139</v>
      </c>
    </row>
    <row r="5142" spans="1:2" x14ac:dyDescent="0.3">
      <c r="A5142" t="s">
        <v>2528</v>
      </c>
      <c r="B5142" t="s">
        <v>2529</v>
      </c>
    </row>
    <row r="5143" spans="1:2" x14ac:dyDescent="0.3">
      <c r="A5143" t="s">
        <v>2905</v>
      </c>
      <c r="B5143" t="s">
        <v>2906</v>
      </c>
    </row>
    <row r="5144" spans="1:2" x14ac:dyDescent="0.3">
      <c r="A5144" t="s">
        <v>1632</v>
      </c>
      <c r="B5144" t="s">
        <v>1633</v>
      </c>
    </row>
    <row r="5145" spans="1:2" x14ac:dyDescent="0.3">
      <c r="A5145" t="s">
        <v>484</v>
      </c>
      <c r="B5145" t="s">
        <v>485</v>
      </c>
    </row>
    <row r="5146" spans="1:2" x14ac:dyDescent="0.3">
      <c r="A5146" t="s">
        <v>3471</v>
      </c>
      <c r="B5146" t="s">
        <v>3472</v>
      </c>
    </row>
    <row r="5147" spans="1:2" x14ac:dyDescent="0.3">
      <c r="A5147" t="s">
        <v>1560</v>
      </c>
      <c r="B5147" t="s">
        <v>504</v>
      </c>
    </row>
    <row r="5148" spans="1:2" x14ac:dyDescent="0.3">
      <c r="A5148" t="s">
        <v>1761</v>
      </c>
      <c r="B5148" t="s">
        <v>481</v>
      </c>
    </row>
    <row r="5149" spans="1:2" x14ac:dyDescent="0.3">
      <c r="A5149" t="s">
        <v>881</v>
      </c>
      <c r="B5149" t="s">
        <v>686</v>
      </c>
    </row>
    <row r="5150" spans="1:2" x14ac:dyDescent="0.3">
      <c r="A5150" t="s">
        <v>2585</v>
      </c>
      <c r="B5150" t="s">
        <v>11</v>
      </c>
    </row>
    <row r="5151" spans="1:2" x14ac:dyDescent="0.3">
      <c r="A5151" t="s">
        <v>3874</v>
      </c>
      <c r="B5151" t="s">
        <v>2584</v>
      </c>
    </row>
    <row r="5152" spans="1:2" x14ac:dyDescent="0.3">
      <c r="A5152" t="s">
        <v>2279</v>
      </c>
      <c r="B5152" t="s">
        <v>2280</v>
      </c>
    </row>
    <row r="5153" spans="1:2" x14ac:dyDescent="0.3">
      <c r="A5153" t="s">
        <v>2671</v>
      </c>
      <c r="B5153" t="s">
        <v>264</v>
      </c>
    </row>
    <row r="5154" spans="1:2" x14ac:dyDescent="0.3">
      <c r="A5154" t="s">
        <v>552</v>
      </c>
      <c r="B5154" t="s">
        <v>553</v>
      </c>
    </row>
    <row r="5155" spans="1:2" x14ac:dyDescent="0.3">
      <c r="A5155" t="s">
        <v>3497</v>
      </c>
      <c r="B5155" t="s">
        <v>22</v>
      </c>
    </row>
    <row r="5156" spans="1:2" x14ac:dyDescent="0.3">
      <c r="A5156" t="s">
        <v>3733</v>
      </c>
      <c r="B5156" t="s">
        <v>22</v>
      </c>
    </row>
    <row r="5157" spans="1:2" x14ac:dyDescent="0.3">
      <c r="A5157" t="s">
        <v>3500</v>
      </c>
      <c r="B5157" t="s">
        <v>22</v>
      </c>
    </row>
    <row r="5158" spans="1:2" x14ac:dyDescent="0.3">
      <c r="A5158" t="s">
        <v>3501</v>
      </c>
      <c r="B5158" t="s">
        <v>3502</v>
      </c>
    </row>
    <row r="5159" spans="1:2" x14ac:dyDescent="0.3">
      <c r="A5159" t="s">
        <v>3458</v>
      </c>
      <c r="B5159" t="s">
        <v>3459</v>
      </c>
    </row>
    <row r="5160" spans="1:2" x14ac:dyDescent="0.3">
      <c r="A5160" t="s">
        <v>203</v>
      </c>
      <c r="B5160" t="s">
        <v>13</v>
      </c>
    </row>
    <row r="5161" spans="1:2" x14ac:dyDescent="0.3">
      <c r="A5161" t="s">
        <v>1962</v>
      </c>
      <c r="B5161" t="s">
        <v>13</v>
      </c>
    </row>
    <row r="5162" spans="1:2" x14ac:dyDescent="0.3">
      <c r="A5162" t="s">
        <v>2023</v>
      </c>
      <c r="B5162" t="s">
        <v>2024</v>
      </c>
    </row>
    <row r="5163" spans="1:2" x14ac:dyDescent="0.3">
      <c r="A5163" t="s">
        <v>123</v>
      </c>
      <c r="B5163" t="s">
        <v>124</v>
      </c>
    </row>
    <row r="5164" spans="1:2" x14ac:dyDescent="0.3">
      <c r="A5164" t="s">
        <v>56</v>
      </c>
    </row>
    <row r="5165" spans="1:2" x14ac:dyDescent="0.3">
      <c r="A5165" t="s">
        <v>57</v>
      </c>
    </row>
    <row r="5166" spans="1:2" x14ac:dyDescent="0.3">
      <c r="A5166" t="s">
        <v>58</v>
      </c>
    </row>
    <row r="5167" spans="1:2" x14ac:dyDescent="0.3">
      <c r="A5167" t="s">
        <v>59</v>
      </c>
    </row>
    <row r="5168" spans="1:2" x14ac:dyDescent="0.3">
      <c r="A5168" t="s">
        <v>60</v>
      </c>
    </row>
    <row r="5169" spans="1:2" x14ac:dyDescent="0.3">
      <c r="A5169" t="s">
        <v>75</v>
      </c>
    </row>
    <row r="5170" spans="1:2" x14ac:dyDescent="0.3">
      <c r="A5170" t="s">
        <v>76</v>
      </c>
    </row>
    <row r="5171" spans="1:2" x14ac:dyDescent="0.3">
      <c r="A5171" t="s">
        <v>3703</v>
      </c>
      <c r="B5171" t="s">
        <v>3704</v>
      </c>
    </row>
    <row r="5172" spans="1:2" x14ac:dyDescent="0.3">
      <c r="A5172" t="s">
        <v>3498</v>
      </c>
      <c r="B5172" t="s">
        <v>3499</v>
      </c>
    </row>
    <row r="5173" spans="1:2" x14ac:dyDescent="0.3">
      <c r="A5173" t="s">
        <v>2028</v>
      </c>
      <c r="B5173" t="s">
        <v>119</v>
      </c>
    </row>
    <row r="5174" spans="1:2" x14ac:dyDescent="0.3">
      <c r="A5174" t="s">
        <v>452</v>
      </c>
      <c r="B5174" t="s">
        <v>453</v>
      </c>
    </row>
    <row r="5175" spans="1:2" x14ac:dyDescent="0.3">
      <c r="A5175" t="s">
        <v>2521</v>
      </c>
      <c r="B5175" t="s">
        <v>1570</v>
      </c>
    </row>
    <row r="5176" spans="1:2" x14ac:dyDescent="0.3">
      <c r="A5176" t="s">
        <v>3102</v>
      </c>
      <c r="B5176" t="s">
        <v>1570</v>
      </c>
    </row>
    <row r="5177" spans="1:2" x14ac:dyDescent="0.3">
      <c r="A5177" t="s">
        <v>3730</v>
      </c>
      <c r="B5177" t="s">
        <v>3731</v>
      </c>
    </row>
    <row r="5178" spans="1:2" x14ac:dyDescent="0.3">
      <c r="A5178" t="s">
        <v>3740</v>
      </c>
      <c r="B5178" t="s">
        <v>3741</v>
      </c>
    </row>
    <row r="5179" spans="1:2" x14ac:dyDescent="0.3">
      <c r="A5179" t="s">
        <v>2281</v>
      </c>
      <c r="B5179" t="s">
        <v>1492</v>
      </c>
    </row>
    <row r="5180" spans="1:2" x14ac:dyDescent="0.3">
      <c r="A5180" t="s">
        <v>4603</v>
      </c>
      <c r="B5180" t="s">
        <v>4604</v>
      </c>
    </row>
    <row r="5181" spans="1:2" x14ac:dyDescent="0.3">
      <c r="A5181" t="s">
        <v>1529</v>
      </c>
      <c r="B5181" t="s">
        <v>956</v>
      </c>
    </row>
    <row r="5182" spans="1:2" x14ac:dyDescent="0.3">
      <c r="A5182" t="s">
        <v>1573</v>
      </c>
      <c r="B5182" t="s">
        <v>1574</v>
      </c>
    </row>
    <row r="5183" spans="1:2" x14ac:dyDescent="0.3">
      <c r="A5183" t="s">
        <v>3589</v>
      </c>
      <c r="B5183" t="s">
        <v>128</v>
      </c>
    </row>
    <row r="5184" spans="1:2" x14ac:dyDescent="0.3">
      <c r="A5184" t="s">
        <v>2290</v>
      </c>
    </row>
    <row r="5185" spans="1:2" x14ac:dyDescent="0.3">
      <c r="A5185" t="s">
        <v>120</v>
      </c>
      <c r="B5185" t="s">
        <v>121</v>
      </c>
    </row>
    <row r="5186" spans="1:2" x14ac:dyDescent="0.3">
      <c r="A5186" t="s">
        <v>2152</v>
      </c>
      <c r="B5186" t="s">
        <v>119</v>
      </c>
    </row>
    <row r="5187" spans="1:2" x14ac:dyDescent="0.3">
      <c r="A5187" t="s">
        <v>265</v>
      </c>
      <c r="B5187" t="s">
        <v>266</v>
      </c>
    </row>
    <row r="5188" spans="1:2" x14ac:dyDescent="0.3">
      <c r="A5188" t="s">
        <v>457</v>
      </c>
      <c r="B5188" t="s">
        <v>458</v>
      </c>
    </row>
    <row r="5189" spans="1:2" x14ac:dyDescent="0.3">
      <c r="A5189" t="s">
        <v>497</v>
      </c>
      <c r="B5189" t="s">
        <v>136</v>
      </c>
    </row>
    <row r="5190" spans="1:2" x14ac:dyDescent="0.3">
      <c r="A5190" t="s">
        <v>3583</v>
      </c>
      <c r="B5190" t="s">
        <v>136</v>
      </c>
    </row>
    <row r="5191" spans="1:2" x14ac:dyDescent="0.3">
      <c r="A5191" t="s">
        <v>3717</v>
      </c>
      <c r="B5191" t="s">
        <v>3718</v>
      </c>
    </row>
    <row r="5192" spans="1:2" x14ac:dyDescent="0.3">
      <c r="A5192" t="s">
        <v>3894</v>
      </c>
      <c r="B5192" t="s">
        <v>136</v>
      </c>
    </row>
    <row r="5193" spans="1:2" x14ac:dyDescent="0.3">
      <c r="A5193" t="s">
        <v>3737</v>
      </c>
      <c r="B5193" t="s">
        <v>136</v>
      </c>
    </row>
    <row r="5194" spans="1:2" x14ac:dyDescent="0.3">
      <c r="A5194" t="s">
        <v>496</v>
      </c>
      <c r="B5194" t="s">
        <v>136</v>
      </c>
    </row>
    <row r="5195" spans="1:2" x14ac:dyDescent="0.3">
      <c r="A5195" t="s">
        <v>2469</v>
      </c>
      <c r="B5195" t="s">
        <v>116</v>
      </c>
    </row>
    <row r="5196" spans="1:2" x14ac:dyDescent="0.3">
      <c r="A5196" t="s">
        <v>2470</v>
      </c>
      <c r="B5196" t="s">
        <v>2471</v>
      </c>
    </row>
    <row r="5197" spans="1:2" x14ac:dyDescent="0.3">
      <c r="A5197" t="s">
        <v>2282</v>
      </c>
      <c r="B5197" t="s">
        <v>1491</v>
      </c>
    </row>
    <row r="5198" spans="1:2" x14ac:dyDescent="0.3">
      <c r="A5198" t="s">
        <v>1324</v>
      </c>
      <c r="B5198" t="s">
        <v>1325</v>
      </c>
    </row>
    <row r="5199" spans="1:2" x14ac:dyDescent="0.3">
      <c r="A5199" t="s">
        <v>2026</v>
      </c>
      <c r="B5199" t="s">
        <v>2027</v>
      </c>
    </row>
    <row r="5200" spans="1:2" x14ac:dyDescent="0.3">
      <c r="A5200" t="s">
        <v>206</v>
      </c>
      <c r="B5200" t="s">
        <v>207</v>
      </c>
    </row>
    <row r="5201" spans="1:2" x14ac:dyDescent="0.3">
      <c r="A5201" t="s">
        <v>204</v>
      </c>
      <c r="B5201" t="s">
        <v>205</v>
      </c>
    </row>
    <row r="5202" spans="1:2" x14ac:dyDescent="0.3">
      <c r="A5202" t="s">
        <v>224</v>
      </c>
      <c r="B5202" t="s">
        <v>225</v>
      </c>
    </row>
    <row r="5203" spans="1:2" x14ac:dyDescent="0.3">
      <c r="A5203" t="s">
        <v>3634</v>
      </c>
      <c r="B5203" t="s">
        <v>2289</v>
      </c>
    </row>
    <row r="5204" spans="1:2" x14ac:dyDescent="0.3">
      <c r="A5204" t="s">
        <v>2288</v>
      </c>
      <c r="B5204" t="s">
        <v>2289</v>
      </c>
    </row>
    <row r="5205" spans="1:2" x14ac:dyDescent="0.3">
      <c r="A5205" t="s">
        <v>3569</v>
      </c>
      <c r="B5205" t="s">
        <v>3570</v>
      </c>
    </row>
    <row r="5206" spans="1:2" x14ac:dyDescent="0.3">
      <c r="A5206" t="s">
        <v>3155</v>
      </c>
      <c r="B5206" t="s">
        <v>2588</v>
      </c>
    </row>
    <row r="5207" spans="1:2" x14ac:dyDescent="0.3">
      <c r="A5207" t="s">
        <v>3573</v>
      </c>
      <c r="B5207" t="s">
        <v>3570</v>
      </c>
    </row>
    <row r="5208" spans="1:2" x14ac:dyDescent="0.3">
      <c r="A5208" t="s">
        <v>3725</v>
      </c>
      <c r="B5208" t="s">
        <v>3726</v>
      </c>
    </row>
    <row r="5209" spans="1:2" x14ac:dyDescent="0.3">
      <c r="A5209" t="s">
        <v>3800</v>
      </c>
      <c r="B5209" t="s">
        <v>3801</v>
      </c>
    </row>
    <row r="5210" spans="1:2" x14ac:dyDescent="0.3">
      <c r="A5210" t="s">
        <v>2587</v>
      </c>
      <c r="B5210" t="s">
        <v>2588</v>
      </c>
    </row>
    <row r="5211" spans="1:2" x14ac:dyDescent="0.3">
      <c r="A5211" t="s">
        <v>3571</v>
      </c>
      <c r="B5211" t="s">
        <v>3572</v>
      </c>
    </row>
    <row r="5212" spans="1:2" x14ac:dyDescent="0.3">
      <c r="A5212" t="s">
        <v>2294</v>
      </c>
      <c r="B5212" t="s">
        <v>2295</v>
      </c>
    </row>
    <row r="5213" spans="1:2" x14ac:dyDescent="0.3">
      <c r="A5213" t="s">
        <v>2583</v>
      </c>
      <c r="B5213" t="s">
        <v>2584</v>
      </c>
    </row>
    <row r="5214" spans="1:2" x14ac:dyDescent="0.3">
      <c r="A5214" t="s">
        <v>3739</v>
      </c>
      <c r="B5214" t="s">
        <v>3011</v>
      </c>
    </row>
    <row r="5215" spans="1:2" x14ac:dyDescent="0.3">
      <c r="A5215" t="s">
        <v>3010</v>
      </c>
      <c r="B5215" t="s">
        <v>3011</v>
      </c>
    </row>
    <row r="5216" spans="1:2" x14ac:dyDescent="0.3">
      <c r="A5216" t="s">
        <v>2575</v>
      </c>
      <c r="B5216" t="s">
        <v>1815</v>
      </c>
    </row>
    <row r="5217" spans="1:2" x14ac:dyDescent="0.3">
      <c r="A5217" t="s">
        <v>4260</v>
      </c>
      <c r="B5217" t="s">
        <v>4261</v>
      </c>
    </row>
    <row r="5218" spans="1:2" x14ac:dyDescent="0.3">
      <c r="A5218" t="s">
        <v>1266</v>
      </c>
      <c r="B5218" t="s">
        <v>1267</v>
      </c>
    </row>
    <row r="5219" spans="1:2" x14ac:dyDescent="0.3">
      <c r="A5219" t="s">
        <v>3521</v>
      </c>
      <c r="B5219" t="s">
        <v>3522</v>
      </c>
    </row>
    <row r="5220" spans="1:2" x14ac:dyDescent="0.3">
      <c r="A5220" t="s">
        <v>3012</v>
      </c>
      <c r="B5220" t="s">
        <v>3011</v>
      </c>
    </row>
    <row r="5221" spans="1:2" x14ac:dyDescent="0.3">
      <c r="A5221" t="s">
        <v>3968</v>
      </c>
      <c r="B5221" t="s">
        <v>1267</v>
      </c>
    </row>
    <row r="5222" spans="1:2" x14ac:dyDescent="0.3">
      <c r="A5222" t="s">
        <v>2786</v>
      </c>
      <c r="B5222" t="s">
        <v>2787</v>
      </c>
    </row>
    <row r="5223" spans="1:2" x14ac:dyDescent="0.3">
      <c r="A5223" t="s">
        <v>140</v>
      </c>
      <c r="B5223" t="s">
        <v>135</v>
      </c>
    </row>
    <row r="5224" spans="1:2" x14ac:dyDescent="0.3">
      <c r="A5224" t="s">
        <v>3869</v>
      </c>
      <c r="B5224" t="s">
        <v>3870</v>
      </c>
    </row>
    <row r="5225" spans="1:2" x14ac:dyDescent="0.3">
      <c r="A5225" t="s">
        <v>2576</v>
      </c>
      <c r="B5225" t="s">
        <v>2577</v>
      </c>
    </row>
    <row r="5226" spans="1:2" x14ac:dyDescent="0.3">
      <c r="A5226" t="s">
        <v>4038</v>
      </c>
      <c r="B5226" t="s">
        <v>3456</v>
      </c>
    </row>
    <row r="5227" spans="1:2" x14ac:dyDescent="0.3">
      <c r="A5227" t="s">
        <v>3457</v>
      </c>
      <c r="B5227" t="s">
        <v>3456</v>
      </c>
    </row>
    <row r="5228" spans="1:2" x14ac:dyDescent="0.3">
      <c r="A5228" t="s">
        <v>3455</v>
      </c>
      <c r="B5228" t="s">
        <v>3456</v>
      </c>
    </row>
    <row r="5229" spans="1:2" x14ac:dyDescent="0.3">
      <c r="A5229" t="s">
        <v>3855</v>
      </c>
      <c r="B5229" t="s">
        <v>3456</v>
      </c>
    </row>
    <row r="5230" spans="1:2" x14ac:dyDescent="0.3">
      <c r="A5230" t="s">
        <v>178</v>
      </c>
      <c r="B5230" t="s">
        <v>179</v>
      </c>
    </row>
    <row r="5231" spans="1:2" x14ac:dyDescent="0.3">
      <c r="A5231" t="s">
        <v>3567</v>
      </c>
      <c r="B5231" t="s">
        <v>3568</v>
      </c>
    </row>
    <row r="5232" spans="1:2" x14ac:dyDescent="0.3">
      <c r="A5232" t="s">
        <v>3993</v>
      </c>
      <c r="B5232" t="s">
        <v>3456</v>
      </c>
    </row>
    <row r="5233" spans="1:1" x14ac:dyDescent="0.3">
      <c r="A5233" t="s">
        <v>77</v>
      </c>
    </row>
    <row r="5234" spans="1:1" x14ac:dyDescent="0.3">
      <c r="A5234" t="s">
        <v>78</v>
      </c>
    </row>
    <row r="5235" spans="1:1" x14ac:dyDescent="0.3">
      <c r="A5235" t="s">
        <v>79</v>
      </c>
    </row>
    <row r="5236" spans="1:1" x14ac:dyDescent="0.3">
      <c r="A5236" t="s">
        <v>80</v>
      </c>
    </row>
    <row r="5237" spans="1:1" x14ac:dyDescent="0.3">
      <c r="A5237" t="s">
        <v>81</v>
      </c>
    </row>
    <row r="5238" spans="1:1" x14ac:dyDescent="0.3">
      <c r="A5238" t="s">
        <v>82</v>
      </c>
    </row>
    <row r="5239" spans="1:1" x14ac:dyDescent="0.3">
      <c r="A5239" t="s">
        <v>91</v>
      </c>
    </row>
    <row r="5240" spans="1:1" x14ac:dyDescent="0.3">
      <c r="A5240" t="s">
        <v>61</v>
      </c>
    </row>
    <row r="5241" spans="1:1" x14ac:dyDescent="0.3">
      <c r="A5241" t="s">
        <v>62</v>
      </c>
    </row>
    <row r="5242" spans="1:1" x14ac:dyDescent="0.3">
      <c r="A5242" t="s">
        <v>63</v>
      </c>
    </row>
    <row r="5243" spans="1:1" x14ac:dyDescent="0.3">
      <c r="A5243" t="s">
        <v>64</v>
      </c>
    </row>
    <row r="5244" spans="1:1" x14ac:dyDescent="0.3">
      <c r="A5244" t="s">
        <v>65</v>
      </c>
    </row>
    <row r="5245" spans="1:1" x14ac:dyDescent="0.3">
      <c r="A5245" t="s">
        <v>66</v>
      </c>
    </row>
    <row r="5246" spans="1:1" x14ac:dyDescent="0.3">
      <c r="A5246" t="s">
        <v>67</v>
      </c>
    </row>
    <row r="5247" spans="1:1" x14ac:dyDescent="0.3">
      <c r="A5247" t="s">
        <v>68</v>
      </c>
    </row>
    <row r="5248" spans="1:1" x14ac:dyDescent="0.3">
      <c r="A5248" t="s">
        <v>69</v>
      </c>
    </row>
    <row r="5249" spans="1:2" x14ac:dyDescent="0.3">
      <c r="A5249" t="s">
        <v>70</v>
      </c>
    </row>
    <row r="5250" spans="1:2" x14ac:dyDescent="0.3">
      <c r="A5250" t="s">
        <v>71</v>
      </c>
    </row>
    <row r="5251" spans="1:2" x14ac:dyDescent="0.3">
      <c r="A5251" t="s">
        <v>72</v>
      </c>
    </row>
    <row r="5252" spans="1:2" x14ac:dyDescent="0.3">
      <c r="A5252" t="s">
        <v>73</v>
      </c>
    </row>
    <row r="5253" spans="1:2" x14ac:dyDescent="0.3">
      <c r="A5253" t="s">
        <v>74</v>
      </c>
    </row>
    <row r="5254" spans="1:2" x14ac:dyDescent="0.3">
      <c r="A5254" t="s">
        <v>53</v>
      </c>
    </row>
    <row r="5255" spans="1:2" x14ac:dyDescent="0.3">
      <c r="A5255" t="s">
        <v>54</v>
      </c>
    </row>
    <row r="5256" spans="1:2" x14ac:dyDescent="0.3">
      <c r="A5256" t="s">
        <v>55</v>
      </c>
    </row>
    <row r="5257" spans="1:2" x14ac:dyDescent="0.3">
      <c r="A5257" t="s">
        <v>83</v>
      </c>
    </row>
    <row r="5258" spans="1:2" x14ac:dyDescent="0.3">
      <c r="A5258" t="s">
        <v>84</v>
      </c>
    </row>
    <row r="5259" spans="1:2" x14ac:dyDescent="0.3">
      <c r="A5259" t="s">
        <v>3932</v>
      </c>
      <c r="B5259" t="s">
        <v>635</v>
      </c>
    </row>
    <row r="5260" spans="1:2" x14ac:dyDescent="0.3">
      <c r="A5260" t="s">
        <v>3665</v>
      </c>
      <c r="B5260" t="s">
        <v>568</v>
      </c>
    </row>
    <row r="5261" spans="1:2" x14ac:dyDescent="0.3">
      <c r="A5261" t="s">
        <v>973</v>
      </c>
      <c r="B5261" t="s">
        <v>974</v>
      </c>
    </row>
    <row r="5262" spans="1:2" x14ac:dyDescent="0.3">
      <c r="A5262" t="s">
        <v>1357</v>
      </c>
      <c r="B5262" t="s">
        <v>1358</v>
      </c>
    </row>
    <row r="5263" spans="1:2" x14ac:dyDescent="0.3">
      <c r="A5263" t="s">
        <v>550</v>
      </c>
    </row>
    <row r="5264" spans="1:2" x14ac:dyDescent="0.3">
      <c r="A5264" t="s">
        <v>688</v>
      </c>
    </row>
    <row r="5265" spans="1:2" x14ac:dyDescent="0.3">
      <c r="A5265" t="s">
        <v>744</v>
      </c>
    </row>
    <row r="5266" spans="1:2" x14ac:dyDescent="0.3">
      <c r="A5266" t="s">
        <v>523</v>
      </c>
    </row>
    <row r="5267" spans="1:2" x14ac:dyDescent="0.3">
      <c r="A5267" t="s">
        <v>32</v>
      </c>
    </row>
    <row r="5268" spans="1:2" x14ac:dyDescent="0.3">
      <c r="A5268" t="s">
        <v>3781</v>
      </c>
      <c r="B5268" t="s">
        <v>470</v>
      </c>
    </row>
    <row r="5269" spans="1:2" x14ac:dyDescent="0.3">
      <c r="A5269" t="s">
        <v>1224</v>
      </c>
      <c r="B5269" t="s">
        <v>470</v>
      </c>
    </row>
    <row r="5270" spans="1:2" x14ac:dyDescent="0.3">
      <c r="A5270" t="s">
        <v>1099</v>
      </c>
      <c r="B5270" t="s">
        <v>470</v>
      </c>
    </row>
    <row r="5271" spans="1:2" x14ac:dyDescent="0.3">
      <c r="A5271" t="s">
        <v>1263</v>
      </c>
      <c r="B5271" t="s">
        <v>470</v>
      </c>
    </row>
    <row r="5272" spans="1:2" x14ac:dyDescent="0.3">
      <c r="A5272" t="s">
        <v>524</v>
      </c>
    </row>
    <row r="5273" spans="1:2" x14ac:dyDescent="0.3">
      <c r="A5273" t="s">
        <v>689</v>
      </c>
    </row>
    <row r="5274" spans="1:2" x14ac:dyDescent="0.3">
      <c r="A5274" t="s">
        <v>1222</v>
      </c>
      <c r="B5274" t="s">
        <v>13</v>
      </c>
    </row>
    <row r="5275" spans="1:2" x14ac:dyDescent="0.3">
      <c r="A5275" t="s">
        <v>1627</v>
      </c>
      <c r="B5275" t="s">
        <v>470</v>
      </c>
    </row>
    <row r="5276" spans="1:2" x14ac:dyDescent="0.3">
      <c r="A5276" t="s">
        <v>949</v>
      </c>
      <c r="B5276" t="s">
        <v>950</v>
      </c>
    </row>
    <row r="5277" spans="1:2" x14ac:dyDescent="0.3">
      <c r="A5277" t="s">
        <v>951</v>
      </c>
      <c r="B5277" t="s">
        <v>950</v>
      </c>
    </row>
    <row r="5278" spans="1:2" x14ac:dyDescent="0.3">
      <c r="A5278" t="s">
        <v>3699</v>
      </c>
      <c r="B5278" t="s">
        <v>470</v>
      </c>
    </row>
    <row r="5279" spans="1:2" x14ac:dyDescent="0.3">
      <c r="A5279" t="s">
        <v>234</v>
      </c>
      <c r="B5279" t="s">
        <v>235</v>
      </c>
    </row>
    <row r="5280" spans="1:2" x14ac:dyDescent="0.3">
      <c r="A5280" t="s">
        <v>236</v>
      </c>
      <c r="B5280" t="s">
        <v>235</v>
      </c>
    </row>
    <row r="5281" spans="1:2" x14ac:dyDescent="0.3">
      <c r="A5281" t="s">
        <v>237</v>
      </c>
      <c r="B5281" t="s">
        <v>235</v>
      </c>
    </row>
    <row r="5282" spans="1:2" x14ac:dyDescent="0.3">
      <c r="A5282" t="s">
        <v>2885</v>
      </c>
      <c r="B5282" t="s">
        <v>481</v>
      </c>
    </row>
    <row r="5283" spans="1:2" x14ac:dyDescent="0.3">
      <c r="A5283" t="s">
        <v>1430</v>
      </c>
      <c r="B5283" t="s">
        <v>1431</v>
      </c>
    </row>
    <row r="5284" spans="1:2" x14ac:dyDescent="0.3">
      <c r="A5284" t="s">
        <v>2966</v>
      </c>
      <c r="B5284" t="s">
        <v>1305</v>
      </c>
    </row>
    <row r="5285" spans="1:2" x14ac:dyDescent="0.3">
      <c r="A5285" t="s">
        <v>839</v>
      </c>
      <c r="B5285" t="s">
        <v>840</v>
      </c>
    </row>
    <row r="5286" spans="1:2" x14ac:dyDescent="0.3">
      <c r="A5286" t="s">
        <v>3694</v>
      </c>
      <c r="B5286" t="s">
        <v>3397</v>
      </c>
    </row>
    <row r="5287" spans="1:2" x14ac:dyDescent="0.3">
      <c r="A5287" t="s">
        <v>2967</v>
      </c>
      <c r="B5287" t="s">
        <v>181</v>
      </c>
    </row>
    <row r="5288" spans="1:2" x14ac:dyDescent="0.3">
      <c r="A5288" t="s">
        <v>3045</v>
      </c>
      <c r="B5288" t="s">
        <v>3046</v>
      </c>
    </row>
    <row r="5289" spans="1:2" x14ac:dyDescent="0.3">
      <c r="A5289" t="s">
        <v>3734</v>
      </c>
      <c r="B5289" t="s">
        <v>181</v>
      </c>
    </row>
    <row r="5290" spans="1:2" x14ac:dyDescent="0.3">
      <c r="A5290" t="s">
        <v>1866</v>
      </c>
      <c r="B5290" t="s">
        <v>1867</v>
      </c>
    </row>
    <row r="5291" spans="1:2" x14ac:dyDescent="0.3">
      <c r="A5291" t="s">
        <v>4309</v>
      </c>
      <c r="B5291" t="s">
        <v>4310</v>
      </c>
    </row>
    <row r="5292" spans="1:2" x14ac:dyDescent="0.3">
      <c r="A5292" t="s">
        <v>3384</v>
      </c>
      <c r="B5292" t="s">
        <v>3007</v>
      </c>
    </row>
    <row r="5293" spans="1:2" x14ac:dyDescent="0.3">
      <c r="A5293" t="s">
        <v>3269</v>
      </c>
      <c r="B5293" t="s">
        <v>3140</v>
      </c>
    </row>
    <row r="5294" spans="1:2" x14ac:dyDescent="0.3">
      <c r="A5294" t="s">
        <v>1964</v>
      </c>
      <c r="B5294" t="s">
        <v>170</v>
      </c>
    </row>
    <row r="5295" spans="1:2" x14ac:dyDescent="0.3">
      <c r="A5295" t="s">
        <v>3137</v>
      </c>
      <c r="B5295" t="s">
        <v>796</v>
      </c>
    </row>
    <row r="5296" spans="1:2" x14ac:dyDescent="0.3">
      <c r="A5296" t="s">
        <v>3136</v>
      </c>
      <c r="B5296" t="s">
        <v>796</v>
      </c>
    </row>
    <row r="5297" spans="1:2" x14ac:dyDescent="0.3">
      <c r="A5297" t="s">
        <v>2815</v>
      </c>
      <c r="B5297" t="s">
        <v>2816</v>
      </c>
    </row>
    <row r="5298" spans="1:2" x14ac:dyDescent="0.3">
      <c r="A5298" t="s">
        <v>3927</v>
      </c>
      <c r="B5298" t="s">
        <v>1528</v>
      </c>
    </row>
    <row r="5299" spans="1:2" x14ac:dyDescent="0.3">
      <c r="A5299" t="s">
        <v>2618</v>
      </c>
      <c r="B5299" t="s">
        <v>481</v>
      </c>
    </row>
    <row r="5300" spans="1:2" x14ac:dyDescent="0.3">
      <c r="A5300" t="s">
        <v>1484</v>
      </c>
      <c r="B5300" t="s">
        <v>1485</v>
      </c>
    </row>
    <row r="5301" spans="1:2" x14ac:dyDescent="0.3">
      <c r="A5301" t="s">
        <v>52</v>
      </c>
    </row>
    <row r="5302" spans="1:2" x14ac:dyDescent="0.3">
      <c r="A5302" t="s">
        <v>3928</v>
      </c>
      <c r="B5302" t="s">
        <v>1528</v>
      </c>
    </row>
    <row r="5303" spans="1:2" x14ac:dyDescent="0.3">
      <c r="A5303" t="s">
        <v>4748</v>
      </c>
      <c r="B5303" t="s">
        <v>151</v>
      </c>
    </row>
    <row r="5304" spans="1:2" x14ac:dyDescent="0.3">
      <c r="A5304" t="s">
        <v>3454</v>
      </c>
      <c r="B5304" t="s">
        <v>173</v>
      </c>
    </row>
    <row r="5305" spans="1:2" x14ac:dyDescent="0.3">
      <c r="A5305" t="s">
        <v>4682</v>
      </c>
      <c r="B5305" t="s">
        <v>4683</v>
      </c>
    </row>
    <row r="5306" spans="1:2" x14ac:dyDescent="0.3">
      <c r="A5306" t="s">
        <v>3934</v>
      </c>
      <c r="B5306" t="s">
        <v>3935</v>
      </c>
    </row>
    <row r="5307" spans="1:2" x14ac:dyDescent="0.3">
      <c r="A5307" t="s">
        <v>400</v>
      </c>
      <c r="B5307" t="s">
        <v>401</v>
      </c>
    </row>
    <row r="5308" spans="1:2" x14ac:dyDescent="0.3">
      <c r="A5308" t="s">
        <v>1501</v>
      </c>
      <c r="B5308" t="s">
        <v>1502</v>
      </c>
    </row>
    <row r="5309" spans="1:2" x14ac:dyDescent="0.3">
      <c r="A5309" t="s">
        <v>1603</v>
      </c>
      <c r="B5309" t="s">
        <v>1604</v>
      </c>
    </row>
    <row r="5310" spans="1:2" x14ac:dyDescent="0.3">
      <c r="A5310" t="s">
        <v>1966</v>
      </c>
      <c r="B5310" t="s">
        <v>1967</v>
      </c>
    </row>
    <row r="5311" spans="1:2" x14ac:dyDescent="0.3">
      <c r="A5311" t="s">
        <v>4286</v>
      </c>
      <c r="B5311" t="s">
        <v>4287</v>
      </c>
    </row>
    <row r="5312" spans="1:2" x14ac:dyDescent="0.3">
      <c r="A5312" t="s">
        <v>2448</v>
      </c>
      <c r="B5312" t="s">
        <v>116</v>
      </c>
    </row>
    <row r="5313" spans="1:2" x14ac:dyDescent="0.3">
      <c r="A5313" t="s">
        <v>2370</v>
      </c>
      <c r="B5313" t="s">
        <v>2371</v>
      </c>
    </row>
    <row r="5314" spans="1:2" x14ac:dyDescent="0.3">
      <c r="A5314" t="s">
        <v>2369</v>
      </c>
      <c r="B5314" t="s">
        <v>116</v>
      </c>
    </row>
    <row r="5315" spans="1:2" x14ac:dyDescent="0.3">
      <c r="A5315" t="s">
        <v>3549</v>
      </c>
      <c r="B5315" t="s">
        <v>2314</v>
      </c>
    </row>
    <row r="5316" spans="1:2" x14ac:dyDescent="0.3">
      <c r="A5316" t="s">
        <v>2990</v>
      </c>
      <c r="B5316" t="s">
        <v>132</v>
      </c>
    </row>
    <row r="5317" spans="1:2" x14ac:dyDescent="0.3">
      <c r="A5317" t="s">
        <v>3880</v>
      </c>
      <c r="B5317" t="s">
        <v>132</v>
      </c>
    </row>
    <row r="5318" spans="1:2" x14ac:dyDescent="0.3">
      <c r="A5318" t="s">
        <v>2372</v>
      </c>
      <c r="B5318" t="s">
        <v>149</v>
      </c>
    </row>
    <row r="5319" spans="1:2" x14ac:dyDescent="0.3">
      <c r="A5319" t="s">
        <v>2373</v>
      </c>
      <c r="B5319" t="s">
        <v>149</v>
      </c>
    </row>
    <row r="5320" spans="1:2" x14ac:dyDescent="0.3">
      <c r="A5320" t="s">
        <v>1331</v>
      </c>
      <c r="B5320" t="s">
        <v>1332</v>
      </c>
    </row>
    <row r="5321" spans="1:2" x14ac:dyDescent="0.3">
      <c r="A5321" t="s">
        <v>924</v>
      </c>
      <c r="B5321" t="s">
        <v>925</v>
      </c>
    </row>
    <row r="5322" spans="1:2" x14ac:dyDescent="0.3">
      <c r="A5322" t="s">
        <v>1542</v>
      </c>
      <c r="B5322" t="s">
        <v>1543</v>
      </c>
    </row>
    <row r="5323" spans="1:2" x14ac:dyDescent="0.3">
      <c r="A5323" t="s">
        <v>1897</v>
      </c>
      <c r="B5323" t="s">
        <v>1898</v>
      </c>
    </row>
    <row r="5324" spans="1:2" x14ac:dyDescent="0.3">
      <c r="A5324" t="s">
        <v>4065</v>
      </c>
      <c r="B5324" t="s">
        <v>4066</v>
      </c>
    </row>
    <row r="5325" spans="1:2" x14ac:dyDescent="0.3">
      <c r="A5325" t="s">
        <v>1415</v>
      </c>
      <c r="B5325" t="s">
        <v>1414</v>
      </c>
    </row>
    <row r="5326" spans="1:2" x14ac:dyDescent="0.3">
      <c r="A5326" t="s">
        <v>1413</v>
      </c>
      <c r="B5326" t="s">
        <v>1414</v>
      </c>
    </row>
    <row r="5327" spans="1:2" x14ac:dyDescent="0.3">
      <c r="A5327" t="s">
        <v>3973</v>
      </c>
      <c r="B5327" t="s">
        <v>3974</v>
      </c>
    </row>
    <row r="5328" spans="1:2" x14ac:dyDescent="0.3">
      <c r="A5328" t="s">
        <v>2654</v>
      </c>
      <c r="B5328" t="s">
        <v>132</v>
      </c>
    </row>
    <row r="5329" spans="1:2" x14ac:dyDescent="0.3">
      <c r="A5329" t="s">
        <v>2832</v>
      </c>
      <c r="B5329" t="s">
        <v>116</v>
      </c>
    </row>
    <row r="5330" spans="1:2" x14ac:dyDescent="0.3">
      <c r="A5330" t="s">
        <v>1817</v>
      </c>
    </row>
    <row r="5331" spans="1:2" x14ac:dyDescent="0.3">
      <c r="A5331" t="s">
        <v>4821</v>
      </c>
      <c r="B5331" t="s">
        <v>175</v>
      </c>
    </row>
    <row r="5332" spans="1:2" x14ac:dyDescent="0.3">
      <c r="A5332" t="s">
        <v>4198</v>
      </c>
      <c r="B5332" t="s">
        <v>149</v>
      </c>
    </row>
    <row r="5333" spans="1:2" x14ac:dyDescent="0.3">
      <c r="A5333" t="s">
        <v>4204</v>
      </c>
      <c r="B5333" t="s">
        <v>149</v>
      </c>
    </row>
    <row r="5334" spans="1:2" x14ac:dyDescent="0.3">
      <c r="A5334" t="s">
        <v>4199</v>
      </c>
      <c r="B5334" t="s">
        <v>149</v>
      </c>
    </row>
    <row r="5335" spans="1:2" x14ac:dyDescent="0.3">
      <c r="A5335" t="s">
        <v>4196</v>
      </c>
      <c r="B5335" t="s">
        <v>149</v>
      </c>
    </row>
    <row r="5336" spans="1:2" x14ac:dyDescent="0.3">
      <c r="A5336" t="s">
        <v>4200</v>
      </c>
      <c r="B5336" t="s">
        <v>149</v>
      </c>
    </row>
    <row r="5337" spans="1:2" x14ac:dyDescent="0.3">
      <c r="A5337" t="s">
        <v>2621</v>
      </c>
      <c r="B5337" t="s">
        <v>2622</v>
      </c>
    </row>
    <row r="5338" spans="1:2" x14ac:dyDescent="0.3">
      <c r="A5338" t="s">
        <v>1654</v>
      </c>
      <c r="B5338" t="s">
        <v>132</v>
      </c>
    </row>
    <row r="5339" spans="1:2" x14ac:dyDescent="0.3">
      <c r="A5339" t="s">
        <v>2149</v>
      </c>
      <c r="B5339" t="s">
        <v>151</v>
      </c>
    </row>
    <row r="5340" spans="1:2" x14ac:dyDescent="0.3">
      <c r="A5340" t="s">
        <v>1615</v>
      </c>
      <c r="B5340" t="s">
        <v>132</v>
      </c>
    </row>
    <row r="5341" spans="1:2" x14ac:dyDescent="0.3">
      <c r="A5341" t="s">
        <v>1738</v>
      </c>
      <c r="B5341" t="s">
        <v>132</v>
      </c>
    </row>
    <row r="5342" spans="1:2" x14ac:dyDescent="0.3">
      <c r="A5342" t="s">
        <v>3981</v>
      </c>
      <c r="B5342" t="s">
        <v>132</v>
      </c>
    </row>
    <row r="5343" spans="1:2" x14ac:dyDescent="0.3">
      <c r="A5343" t="s">
        <v>4039</v>
      </c>
      <c r="B5343" t="s">
        <v>4040</v>
      </c>
    </row>
    <row r="5344" spans="1:2" x14ac:dyDescent="0.3">
      <c r="A5344" t="s">
        <v>3592</v>
      </c>
      <c r="B5344" t="s">
        <v>132</v>
      </c>
    </row>
    <row r="5345" spans="1:2" x14ac:dyDescent="0.3">
      <c r="A5345" t="s">
        <v>3594</v>
      </c>
      <c r="B5345" t="s">
        <v>132</v>
      </c>
    </row>
    <row r="5346" spans="1:2" x14ac:dyDescent="0.3">
      <c r="A5346" t="s">
        <v>3595</v>
      </c>
      <c r="B5346" t="s">
        <v>132</v>
      </c>
    </row>
    <row r="5347" spans="1:2" x14ac:dyDescent="0.3">
      <c r="A5347" t="s">
        <v>3578</v>
      </c>
      <c r="B5347" t="s">
        <v>150</v>
      </c>
    </row>
    <row r="5348" spans="1:2" x14ac:dyDescent="0.3">
      <c r="A5348" t="s">
        <v>2098</v>
      </c>
      <c r="B5348" t="s">
        <v>132</v>
      </c>
    </row>
    <row r="5349" spans="1:2" x14ac:dyDescent="0.3">
      <c r="A5349" t="s">
        <v>3536</v>
      </c>
      <c r="B5349" t="s">
        <v>18</v>
      </c>
    </row>
    <row r="5350" spans="1:2" x14ac:dyDescent="0.3">
      <c r="A5350" t="s">
        <v>3574</v>
      </c>
      <c r="B5350" t="s">
        <v>132</v>
      </c>
    </row>
    <row r="5351" spans="1:2" x14ac:dyDescent="0.3">
      <c r="A5351" t="s">
        <v>2732</v>
      </c>
      <c r="B5351" t="s">
        <v>2733</v>
      </c>
    </row>
    <row r="5352" spans="1:2" x14ac:dyDescent="0.3">
      <c r="A5352" t="s">
        <v>3537</v>
      </c>
      <c r="B5352" t="s">
        <v>132</v>
      </c>
    </row>
    <row r="5353" spans="1:2" x14ac:dyDescent="0.3">
      <c r="A5353" t="s">
        <v>3540</v>
      </c>
      <c r="B5353" t="s">
        <v>132</v>
      </c>
    </row>
    <row r="5354" spans="1:2" x14ac:dyDescent="0.3">
      <c r="A5354" t="s">
        <v>3989</v>
      </c>
      <c r="B5354" t="s">
        <v>188</v>
      </c>
    </row>
    <row r="5355" spans="1:2" x14ac:dyDescent="0.3">
      <c r="A5355" t="s">
        <v>3947</v>
      </c>
      <c r="B5355" t="s">
        <v>188</v>
      </c>
    </row>
    <row r="5356" spans="1:2" x14ac:dyDescent="0.3">
      <c r="A5356" t="s">
        <v>3857</v>
      </c>
      <c r="B5356" t="s">
        <v>132</v>
      </c>
    </row>
    <row r="5357" spans="1:2" x14ac:dyDescent="0.3">
      <c r="A5357" t="s">
        <v>4285</v>
      </c>
      <c r="B5357" t="s">
        <v>132</v>
      </c>
    </row>
    <row r="5358" spans="1:2" x14ac:dyDescent="0.3">
      <c r="A5358" t="s">
        <v>4165</v>
      </c>
      <c r="B5358" t="s">
        <v>188</v>
      </c>
    </row>
    <row r="5359" spans="1:2" x14ac:dyDescent="0.3">
      <c r="A5359" t="s">
        <v>1405</v>
      </c>
      <c r="B5359" t="s">
        <v>173</v>
      </c>
    </row>
    <row r="5360" spans="1:2" x14ac:dyDescent="0.3">
      <c r="A5360" t="s">
        <v>3538</v>
      </c>
      <c r="B5360" t="s">
        <v>3539</v>
      </c>
    </row>
    <row r="5361" spans="1:2" x14ac:dyDescent="0.3">
      <c r="A5361" t="s">
        <v>3541</v>
      </c>
      <c r="B5361" t="s">
        <v>3539</v>
      </c>
    </row>
    <row r="5362" spans="1:2" x14ac:dyDescent="0.3">
      <c r="A5362" t="s">
        <v>3473</v>
      </c>
      <c r="B5362" t="s">
        <v>3474</v>
      </c>
    </row>
    <row r="5363" spans="1:2" x14ac:dyDescent="0.3">
      <c r="A5363" t="s">
        <v>3553</v>
      </c>
      <c r="B5363" t="s">
        <v>132</v>
      </c>
    </row>
    <row r="5364" spans="1:2" x14ac:dyDescent="0.3">
      <c r="A5364" t="s">
        <v>3596</v>
      </c>
      <c r="B5364" t="s">
        <v>132</v>
      </c>
    </row>
    <row r="5365" spans="1:2" x14ac:dyDescent="0.3">
      <c r="A5365" t="s">
        <v>2729</v>
      </c>
      <c r="B5365" t="s">
        <v>132</v>
      </c>
    </row>
    <row r="5366" spans="1:2" x14ac:dyDescent="0.3">
      <c r="A5366" t="s">
        <v>3575</v>
      </c>
      <c r="B5366" t="s">
        <v>132</v>
      </c>
    </row>
    <row r="5367" spans="1:2" x14ac:dyDescent="0.3">
      <c r="A5367" t="s">
        <v>3002</v>
      </c>
      <c r="B5367" t="s">
        <v>151</v>
      </c>
    </row>
    <row r="5368" spans="1:2" x14ac:dyDescent="0.3">
      <c r="A5368" t="s">
        <v>2214</v>
      </c>
      <c r="B5368" t="s">
        <v>132</v>
      </c>
    </row>
    <row r="5369" spans="1:2" x14ac:dyDescent="0.3">
      <c r="A5369" t="s">
        <v>4074</v>
      </c>
      <c r="B5369" t="s">
        <v>132</v>
      </c>
    </row>
    <row r="5370" spans="1:2" x14ac:dyDescent="0.3">
      <c r="A5370" t="s">
        <v>1776</v>
      </c>
      <c r="B5370" t="s">
        <v>116</v>
      </c>
    </row>
    <row r="5371" spans="1:2" x14ac:dyDescent="0.3">
      <c r="A5371" t="s">
        <v>4241</v>
      </c>
      <c r="B5371" t="s">
        <v>1941</v>
      </c>
    </row>
    <row r="5372" spans="1:2" x14ac:dyDescent="0.3">
      <c r="A5372" t="s">
        <v>4750</v>
      </c>
      <c r="B5372" t="s">
        <v>4751</v>
      </c>
    </row>
    <row r="5373" spans="1:2" x14ac:dyDescent="0.3">
      <c r="A5373" t="s">
        <v>2374</v>
      </c>
      <c r="B5373" t="s">
        <v>2375</v>
      </c>
    </row>
    <row r="5374" spans="1:2" x14ac:dyDescent="0.3">
      <c r="A5374" t="s">
        <v>2204</v>
      </c>
      <c r="B5374" t="s">
        <v>132</v>
      </c>
    </row>
    <row r="5375" spans="1:2" x14ac:dyDescent="0.3">
      <c r="A5375" t="s">
        <v>1861</v>
      </c>
      <c r="B5375" t="s">
        <v>132</v>
      </c>
    </row>
    <row r="5376" spans="1:2" x14ac:dyDescent="0.3">
      <c r="A5376" t="s">
        <v>3551</v>
      </c>
      <c r="B5376" t="s">
        <v>3552</v>
      </c>
    </row>
    <row r="5377" spans="1:2" x14ac:dyDescent="0.3">
      <c r="A5377" t="s">
        <v>3597</v>
      </c>
      <c r="B5377" t="s">
        <v>3474</v>
      </c>
    </row>
    <row r="5378" spans="1:2" x14ac:dyDescent="0.3">
      <c r="A5378" t="s">
        <v>2376</v>
      </c>
      <c r="B5378" t="s">
        <v>13</v>
      </c>
    </row>
    <row r="5379" spans="1:2" x14ac:dyDescent="0.3">
      <c r="A5379" t="s">
        <v>3496</v>
      </c>
      <c r="B5379" t="s">
        <v>132</v>
      </c>
    </row>
    <row r="5380" spans="1:2" x14ac:dyDescent="0.3">
      <c r="A5380" t="s">
        <v>2377</v>
      </c>
      <c r="B5380" t="s">
        <v>2378</v>
      </c>
    </row>
    <row r="5381" spans="1:2" x14ac:dyDescent="0.3">
      <c r="A5381" t="s">
        <v>2379</v>
      </c>
      <c r="B5381" t="s">
        <v>2378</v>
      </c>
    </row>
    <row r="5382" spans="1:2" x14ac:dyDescent="0.3">
      <c r="A5382" t="s">
        <v>2380</v>
      </c>
      <c r="B5382" t="s">
        <v>2378</v>
      </c>
    </row>
    <row r="5383" spans="1:2" x14ac:dyDescent="0.3">
      <c r="A5383" t="s">
        <v>3475</v>
      </c>
      <c r="B5383" t="s">
        <v>150</v>
      </c>
    </row>
    <row r="5384" spans="1:2" x14ac:dyDescent="0.3">
      <c r="A5384" t="s">
        <v>3802</v>
      </c>
      <c r="B5384" t="s">
        <v>132</v>
      </c>
    </row>
    <row r="5385" spans="1:2" x14ac:dyDescent="0.3">
      <c r="A5385" t="s">
        <v>3476</v>
      </c>
      <c r="B5385" t="s">
        <v>132</v>
      </c>
    </row>
    <row r="5386" spans="1:2" x14ac:dyDescent="0.3">
      <c r="A5386" t="s">
        <v>3494</v>
      </c>
      <c r="B5386" t="s">
        <v>3495</v>
      </c>
    </row>
    <row r="5387" spans="1:2" x14ac:dyDescent="0.3">
      <c r="A5387" t="s">
        <v>1504</v>
      </c>
      <c r="B5387" t="s">
        <v>132</v>
      </c>
    </row>
    <row r="5388" spans="1:2" x14ac:dyDescent="0.3">
      <c r="A5388" t="s">
        <v>2381</v>
      </c>
      <c r="B5388" t="s">
        <v>116</v>
      </c>
    </row>
    <row r="5389" spans="1:2" x14ac:dyDescent="0.3">
      <c r="A5389" t="s">
        <v>3961</v>
      </c>
      <c r="B5389" t="s">
        <v>2645</v>
      </c>
    </row>
    <row r="5390" spans="1:2" x14ac:dyDescent="0.3">
      <c r="A5390" t="s">
        <v>4746</v>
      </c>
      <c r="B5390" t="s">
        <v>132</v>
      </c>
    </row>
    <row r="5391" spans="1:2" x14ac:dyDescent="0.3">
      <c r="A5391" t="s">
        <v>3972</v>
      </c>
      <c r="B5391" t="s">
        <v>136</v>
      </c>
    </row>
    <row r="5392" spans="1:2" x14ac:dyDescent="0.3">
      <c r="A5392" t="s">
        <v>3663</v>
      </c>
      <c r="B5392" t="s">
        <v>3664</v>
      </c>
    </row>
    <row r="5393" spans="1:2" x14ac:dyDescent="0.3">
      <c r="A5393" t="s">
        <v>115</v>
      </c>
      <c r="B5393" t="s">
        <v>116</v>
      </c>
    </row>
    <row r="5394" spans="1:2" x14ac:dyDescent="0.3">
      <c r="A5394" t="s">
        <v>4480</v>
      </c>
      <c r="B5394" t="s">
        <v>4066</v>
      </c>
    </row>
    <row r="5395" spans="1:2" x14ac:dyDescent="0.3">
      <c r="A5395" t="s">
        <v>2947</v>
      </c>
      <c r="B5395" t="s">
        <v>2948</v>
      </c>
    </row>
    <row r="5396" spans="1:2" x14ac:dyDescent="0.3">
      <c r="A5396" t="s">
        <v>718</v>
      </c>
    </row>
    <row r="5397" spans="1:2" x14ac:dyDescent="0.3">
      <c r="A5397" t="s">
        <v>719</v>
      </c>
    </row>
    <row r="5398" spans="1:2" x14ac:dyDescent="0.3">
      <c r="A5398" t="s">
        <v>716</v>
      </c>
    </row>
    <row r="5399" spans="1:2" x14ac:dyDescent="0.3">
      <c r="A5399" t="s">
        <v>717</v>
      </c>
    </row>
    <row r="5400" spans="1:2" x14ac:dyDescent="0.3">
      <c r="A5400" t="s">
        <v>3964</v>
      </c>
      <c r="B5400" t="s">
        <v>1651</v>
      </c>
    </row>
    <row r="5401" spans="1:2" x14ac:dyDescent="0.3">
      <c r="A5401" t="s">
        <v>2949</v>
      </c>
      <c r="B5401" t="s">
        <v>188</v>
      </c>
    </row>
    <row r="5402" spans="1:2" x14ac:dyDescent="0.3">
      <c r="A5402" t="s">
        <v>2952</v>
      </c>
      <c r="B5402" t="s">
        <v>188</v>
      </c>
    </row>
    <row r="5403" spans="1:2" x14ac:dyDescent="0.3">
      <c r="A5403" t="s">
        <v>4473</v>
      </c>
      <c r="B5403" t="s">
        <v>822</v>
      </c>
    </row>
    <row r="5404" spans="1:2" x14ac:dyDescent="0.3">
      <c r="A5404" t="s">
        <v>3750</v>
      </c>
      <c r="B5404" t="s">
        <v>3751</v>
      </c>
    </row>
    <row r="5405" spans="1:2" x14ac:dyDescent="0.3">
      <c r="A5405" t="s">
        <v>4166</v>
      </c>
      <c r="B5405" t="s">
        <v>336</v>
      </c>
    </row>
    <row r="5406" spans="1:2" x14ac:dyDescent="0.3">
      <c r="A5406" t="s">
        <v>2951</v>
      </c>
      <c r="B5406" t="s">
        <v>188</v>
      </c>
    </row>
    <row r="5407" spans="1:2" x14ac:dyDescent="0.3">
      <c r="A5407" t="s">
        <v>2833</v>
      </c>
      <c r="B5407" t="s">
        <v>188</v>
      </c>
    </row>
    <row r="5408" spans="1:2" x14ac:dyDescent="0.3">
      <c r="A5408" t="s">
        <v>2880</v>
      </c>
      <c r="B5408" t="s">
        <v>353</v>
      </c>
    </row>
    <row r="5409" spans="1:2" x14ac:dyDescent="0.3">
      <c r="A5409" t="s">
        <v>3763</v>
      </c>
      <c r="B5409" t="s">
        <v>353</v>
      </c>
    </row>
    <row r="5410" spans="1:2" x14ac:dyDescent="0.3">
      <c r="A5410" t="s">
        <v>2879</v>
      </c>
      <c r="B5410" t="s">
        <v>353</v>
      </c>
    </row>
    <row r="5411" spans="1:2" x14ac:dyDescent="0.3">
      <c r="A5411" t="s">
        <v>2154</v>
      </c>
      <c r="B5411" t="s">
        <v>188</v>
      </c>
    </row>
    <row r="5412" spans="1:2" x14ac:dyDescent="0.3">
      <c r="A5412" t="s">
        <v>2153</v>
      </c>
      <c r="B5412" t="s">
        <v>188</v>
      </c>
    </row>
    <row r="5413" spans="1:2" x14ac:dyDescent="0.3">
      <c r="A5413" t="s">
        <v>1497</v>
      </c>
      <c r="B5413" t="s">
        <v>188</v>
      </c>
    </row>
    <row r="5414" spans="1:2" x14ac:dyDescent="0.3">
      <c r="A5414" t="s">
        <v>4463</v>
      </c>
      <c r="B5414" t="s">
        <v>188</v>
      </c>
    </row>
    <row r="5415" spans="1:2" x14ac:dyDescent="0.3">
      <c r="A5415" t="s">
        <v>2155</v>
      </c>
      <c r="B5415" t="s">
        <v>188</v>
      </c>
    </row>
    <row r="5416" spans="1:2" x14ac:dyDescent="0.3">
      <c r="A5416" t="s">
        <v>1131</v>
      </c>
      <c r="B5416" t="s">
        <v>188</v>
      </c>
    </row>
    <row r="5417" spans="1:2" x14ac:dyDescent="0.3">
      <c r="A5417" t="s">
        <v>1132</v>
      </c>
      <c r="B5417" t="s">
        <v>188</v>
      </c>
    </row>
    <row r="5418" spans="1:2" x14ac:dyDescent="0.3">
      <c r="A5418" t="s">
        <v>532</v>
      </c>
      <c r="B5418" t="s">
        <v>188</v>
      </c>
    </row>
    <row r="5419" spans="1:2" x14ac:dyDescent="0.3">
      <c r="A5419" t="s">
        <v>3442</v>
      </c>
      <c r="B5419" t="s">
        <v>188</v>
      </c>
    </row>
    <row r="5420" spans="1:2" x14ac:dyDescent="0.3">
      <c r="A5420" t="s">
        <v>1493</v>
      </c>
      <c r="B5420" t="s">
        <v>366</v>
      </c>
    </row>
    <row r="5421" spans="1:2" x14ac:dyDescent="0.3">
      <c r="A5421" t="s">
        <v>722</v>
      </c>
    </row>
    <row r="5422" spans="1:2" x14ac:dyDescent="0.3">
      <c r="A5422" t="s">
        <v>3107</v>
      </c>
      <c r="B5422" t="s">
        <v>188</v>
      </c>
    </row>
    <row r="5423" spans="1:2" x14ac:dyDescent="0.3">
      <c r="A5423" t="s">
        <v>1133</v>
      </c>
      <c r="B5423" t="s">
        <v>188</v>
      </c>
    </row>
    <row r="5424" spans="1:2" x14ac:dyDescent="0.3">
      <c r="A5424" t="s">
        <v>1938</v>
      </c>
      <c r="B5424" t="s">
        <v>132</v>
      </c>
    </row>
    <row r="5425" spans="1:2" x14ac:dyDescent="0.3">
      <c r="A5425" t="s">
        <v>4358</v>
      </c>
      <c r="B5425" t="s">
        <v>188</v>
      </c>
    </row>
    <row r="5426" spans="1:2" x14ac:dyDescent="0.3">
      <c r="A5426" t="s">
        <v>4681</v>
      </c>
      <c r="B5426" t="s">
        <v>188</v>
      </c>
    </row>
    <row r="5427" spans="1:2" x14ac:dyDescent="0.3">
      <c r="A5427" t="s">
        <v>2986</v>
      </c>
      <c r="B5427" t="s">
        <v>188</v>
      </c>
    </row>
    <row r="5428" spans="1:2" x14ac:dyDescent="0.3">
      <c r="A5428" t="s">
        <v>914</v>
      </c>
      <c r="B5428" t="s">
        <v>188</v>
      </c>
    </row>
    <row r="5429" spans="1:2" x14ac:dyDescent="0.3">
      <c r="A5429" t="s">
        <v>2933</v>
      </c>
      <c r="B5429" t="s">
        <v>188</v>
      </c>
    </row>
    <row r="5430" spans="1:2" x14ac:dyDescent="0.3">
      <c r="A5430" t="s">
        <v>3063</v>
      </c>
      <c r="B5430" t="s">
        <v>188</v>
      </c>
    </row>
    <row r="5431" spans="1:2" x14ac:dyDescent="0.3">
      <c r="A5431" t="s">
        <v>3398</v>
      </c>
      <c r="B5431" t="s">
        <v>729</v>
      </c>
    </row>
    <row r="5432" spans="1:2" x14ac:dyDescent="0.3">
      <c r="A5432" t="s">
        <v>4705</v>
      </c>
      <c r="B5432" t="s">
        <v>175</v>
      </c>
    </row>
    <row r="5433" spans="1:2" x14ac:dyDescent="0.3">
      <c r="A5433" t="s">
        <v>2915</v>
      </c>
      <c r="B5433" t="s">
        <v>175</v>
      </c>
    </row>
    <row r="5434" spans="1:2" x14ac:dyDescent="0.3">
      <c r="A5434" t="s">
        <v>3637</v>
      </c>
      <c r="B5434" t="s">
        <v>22</v>
      </c>
    </row>
    <row r="5435" spans="1:2" x14ac:dyDescent="0.3">
      <c r="A5435" t="s">
        <v>3447</v>
      </c>
      <c r="B5435" t="s">
        <v>188</v>
      </c>
    </row>
    <row r="5436" spans="1:2" x14ac:dyDescent="0.3">
      <c r="A5436" t="s">
        <v>2052</v>
      </c>
      <c r="B5436" t="s">
        <v>188</v>
      </c>
    </row>
    <row r="5437" spans="1:2" x14ac:dyDescent="0.3">
      <c r="A5437" t="s">
        <v>2053</v>
      </c>
      <c r="B5437" t="s">
        <v>188</v>
      </c>
    </row>
    <row r="5438" spans="1:2" x14ac:dyDescent="0.3">
      <c r="A5438" t="s">
        <v>2934</v>
      </c>
      <c r="B5438" t="s">
        <v>188</v>
      </c>
    </row>
    <row r="5439" spans="1:2" x14ac:dyDescent="0.3">
      <c r="A5439" t="s">
        <v>1135</v>
      </c>
      <c r="B5439" t="s">
        <v>188</v>
      </c>
    </row>
    <row r="5440" spans="1:2" x14ac:dyDescent="0.3">
      <c r="A5440" t="s">
        <v>606</v>
      </c>
      <c r="B5440" t="s">
        <v>188</v>
      </c>
    </row>
    <row r="5441" spans="1:2" x14ac:dyDescent="0.3">
      <c r="A5441" t="s">
        <v>3742</v>
      </c>
      <c r="B5441" t="s">
        <v>173</v>
      </c>
    </row>
    <row r="5442" spans="1:2" x14ac:dyDescent="0.3">
      <c r="A5442" t="s">
        <v>3448</v>
      </c>
      <c r="B5442" t="s">
        <v>188</v>
      </c>
    </row>
    <row r="5443" spans="1:2" x14ac:dyDescent="0.3">
      <c r="A5443" t="s">
        <v>1136</v>
      </c>
      <c r="B5443" t="s">
        <v>188</v>
      </c>
    </row>
    <row r="5444" spans="1:2" x14ac:dyDescent="0.3">
      <c r="A5444" t="s">
        <v>1137</v>
      </c>
      <c r="B5444" t="s">
        <v>173</v>
      </c>
    </row>
    <row r="5445" spans="1:2" x14ac:dyDescent="0.3">
      <c r="A5445" t="s">
        <v>1138</v>
      </c>
      <c r="B5445" t="s">
        <v>188</v>
      </c>
    </row>
    <row r="5446" spans="1:2" x14ac:dyDescent="0.3">
      <c r="A5446" t="s">
        <v>3449</v>
      </c>
      <c r="B5446" t="s">
        <v>188</v>
      </c>
    </row>
    <row r="5447" spans="1:2" x14ac:dyDescent="0.3">
      <c r="A5447" t="s">
        <v>1139</v>
      </c>
      <c r="B5447" t="s">
        <v>188</v>
      </c>
    </row>
    <row r="5448" spans="1:2" x14ac:dyDescent="0.3">
      <c r="A5448" t="s">
        <v>1140</v>
      </c>
      <c r="B5448" t="s">
        <v>188</v>
      </c>
    </row>
    <row r="5449" spans="1:2" x14ac:dyDescent="0.3">
      <c r="A5449" t="s">
        <v>1141</v>
      </c>
      <c r="B5449" t="s">
        <v>188</v>
      </c>
    </row>
    <row r="5450" spans="1:2" x14ac:dyDescent="0.3">
      <c r="A5450" t="s">
        <v>1142</v>
      </c>
      <c r="B5450" t="s">
        <v>188</v>
      </c>
    </row>
    <row r="5451" spans="1:2" x14ac:dyDescent="0.3">
      <c r="A5451" t="s">
        <v>1143</v>
      </c>
      <c r="B5451" t="s">
        <v>188</v>
      </c>
    </row>
    <row r="5452" spans="1:2" x14ac:dyDescent="0.3">
      <c r="A5452" t="s">
        <v>1134</v>
      </c>
      <c r="B5452" t="s">
        <v>188</v>
      </c>
    </row>
    <row r="5453" spans="1:2" x14ac:dyDescent="0.3">
      <c r="A5453" t="s">
        <v>757</v>
      </c>
      <c r="B5453" t="s">
        <v>758</v>
      </c>
    </row>
    <row r="5454" spans="1:2" x14ac:dyDescent="0.3">
      <c r="A5454" t="s">
        <v>4535</v>
      </c>
      <c r="B5454" t="s">
        <v>4536</v>
      </c>
    </row>
    <row r="5455" spans="1:2" x14ac:dyDescent="0.3">
      <c r="A5455" t="s">
        <v>3967</v>
      </c>
      <c r="B5455" t="s">
        <v>3293</v>
      </c>
    </row>
    <row r="5456" spans="1:2" x14ac:dyDescent="0.3">
      <c r="A5456" t="s">
        <v>4400</v>
      </c>
      <c r="B5456" t="s">
        <v>3293</v>
      </c>
    </row>
    <row r="5457" spans="1:2" x14ac:dyDescent="0.3">
      <c r="A5457" t="s">
        <v>2699</v>
      </c>
      <c r="B5457" t="s">
        <v>184</v>
      </c>
    </row>
    <row r="5458" spans="1:2" x14ac:dyDescent="0.3">
      <c r="A5458" t="s">
        <v>4116</v>
      </c>
      <c r="B5458" t="s">
        <v>4117</v>
      </c>
    </row>
    <row r="5459" spans="1:2" x14ac:dyDescent="0.3">
      <c r="A5459" t="s">
        <v>4611</v>
      </c>
      <c r="B5459" t="s">
        <v>4612</v>
      </c>
    </row>
    <row r="5460" spans="1:2" x14ac:dyDescent="0.3">
      <c r="A5460" t="s">
        <v>1631</v>
      </c>
      <c r="B5460" t="s">
        <v>897</v>
      </c>
    </row>
    <row r="5461" spans="1:2" x14ac:dyDescent="0.3">
      <c r="A5461" t="s">
        <v>1527</v>
      </c>
      <c r="B5461" t="s">
        <v>494</v>
      </c>
    </row>
    <row r="5462" spans="1:2" x14ac:dyDescent="0.3">
      <c r="A5462" t="s">
        <v>3985</v>
      </c>
      <c r="B5462" t="s">
        <v>494</v>
      </c>
    </row>
    <row r="5463" spans="1:2" x14ac:dyDescent="0.3">
      <c r="A5463" t="s">
        <v>4280</v>
      </c>
      <c r="B5463" t="s">
        <v>4281</v>
      </c>
    </row>
    <row r="5464" spans="1:2" x14ac:dyDescent="0.3">
      <c r="A5464" t="s">
        <v>3988</v>
      </c>
      <c r="B5464" t="s">
        <v>13</v>
      </c>
    </row>
    <row r="5465" spans="1:2" x14ac:dyDescent="0.3">
      <c r="A5465" t="s">
        <v>459</v>
      </c>
      <c r="B5465" t="s">
        <v>460</v>
      </c>
    </row>
    <row r="5466" spans="1:2" x14ac:dyDescent="0.3">
      <c r="A5466" t="s">
        <v>4138</v>
      </c>
      <c r="B5466" t="s">
        <v>13</v>
      </c>
    </row>
    <row r="5467" spans="1:2" x14ac:dyDescent="0.3">
      <c r="A5467" t="s">
        <v>3922</v>
      </c>
      <c r="B5467" t="s">
        <v>119</v>
      </c>
    </row>
    <row r="5468" spans="1:2" x14ac:dyDescent="0.3">
      <c r="A5468" t="s">
        <v>2293</v>
      </c>
      <c r="B5468" t="s">
        <v>2140</v>
      </c>
    </row>
    <row r="5469" spans="1:2" x14ac:dyDescent="0.3">
      <c r="A5469" t="s">
        <v>1629</v>
      </c>
      <c r="B5469" t="s">
        <v>494</v>
      </c>
    </row>
    <row r="5470" spans="1:2" x14ac:dyDescent="0.3">
      <c r="A5470" t="s">
        <v>1298</v>
      </c>
    </row>
    <row r="5471" spans="1:2" x14ac:dyDescent="0.3">
      <c r="A5471" t="s">
        <v>1297</v>
      </c>
    </row>
    <row r="5472" spans="1:2" x14ac:dyDescent="0.3">
      <c r="A5472" t="s">
        <v>1342</v>
      </c>
      <c r="B5472" t="s">
        <v>1018</v>
      </c>
    </row>
    <row r="5473" spans="1:2" x14ac:dyDescent="0.3">
      <c r="A5473" t="s">
        <v>258</v>
      </c>
      <c r="B5473" t="s">
        <v>259</v>
      </c>
    </row>
    <row r="5474" spans="1:2" x14ac:dyDescent="0.3">
      <c r="A5474" t="s">
        <v>516</v>
      </c>
      <c r="B5474" t="s">
        <v>517</v>
      </c>
    </row>
    <row r="5475" spans="1:2" x14ac:dyDescent="0.3">
      <c r="A5475" t="s">
        <v>1790</v>
      </c>
      <c r="B5475" t="s">
        <v>259</v>
      </c>
    </row>
    <row r="5476" spans="1:2" x14ac:dyDescent="0.3">
      <c r="A5476" t="s">
        <v>1859</v>
      </c>
      <c r="B5476" t="s">
        <v>1860</v>
      </c>
    </row>
    <row r="5477" spans="1:2" x14ac:dyDescent="0.3">
      <c r="A5477" t="s">
        <v>4720</v>
      </c>
      <c r="B5477" t="s">
        <v>3916</v>
      </c>
    </row>
    <row r="5478" spans="1:2" x14ac:dyDescent="0.3">
      <c r="A5478" t="s">
        <v>4431</v>
      </c>
      <c r="B5478" t="s">
        <v>4432</v>
      </c>
    </row>
    <row r="5479" spans="1:2" x14ac:dyDescent="0.3">
      <c r="A5479" t="s">
        <v>4433</v>
      </c>
      <c r="B5479" t="s">
        <v>4432</v>
      </c>
    </row>
    <row r="5480" spans="1:2" x14ac:dyDescent="0.3">
      <c r="A5480" t="s">
        <v>1259</v>
      </c>
      <c r="B5480" t="s">
        <v>1260</v>
      </c>
    </row>
    <row r="5481" spans="1:2" x14ac:dyDescent="0.3">
      <c r="A5481" t="s">
        <v>640</v>
      </c>
      <c r="B5481" t="s">
        <v>641</v>
      </c>
    </row>
    <row r="5482" spans="1:2" x14ac:dyDescent="0.3">
      <c r="A5482" t="s">
        <v>642</v>
      </c>
      <c r="B5482" t="s">
        <v>641</v>
      </c>
    </row>
    <row r="5483" spans="1:2" x14ac:dyDescent="0.3">
      <c r="A5483" t="s">
        <v>837</v>
      </c>
      <c r="B5483" t="s">
        <v>838</v>
      </c>
    </row>
    <row r="5484" spans="1:2" x14ac:dyDescent="0.3">
      <c r="A5484" t="s">
        <v>2871</v>
      </c>
      <c r="B5484" t="s">
        <v>1491</v>
      </c>
    </row>
    <row r="5485" spans="1:2" x14ac:dyDescent="0.3">
      <c r="A5485" t="s">
        <v>2837</v>
      </c>
      <c r="B5485" t="s">
        <v>2838</v>
      </c>
    </row>
    <row r="5486" spans="1:2" x14ac:dyDescent="0.3">
      <c r="A5486" t="s">
        <v>3525</v>
      </c>
      <c r="B5486" t="s">
        <v>119</v>
      </c>
    </row>
    <row r="5487" spans="1:2" x14ac:dyDescent="0.3">
      <c r="A5487" t="s">
        <v>2809</v>
      </c>
      <c r="B5487" t="s">
        <v>494</v>
      </c>
    </row>
    <row r="5488" spans="1:2" x14ac:dyDescent="0.3">
      <c r="A5488" t="s">
        <v>1525</v>
      </c>
      <c r="B5488" t="s">
        <v>494</v>
      </c>
    </row>
    <row r="5489" spans="1:2" x14ac:dyDescent="0.3">
      <c r="A5489" t="s">
        <v>1526</v>
      </c>
      <c r="B5489" t="s">
        <v>494</v>
      </c>
    </row>
    <row r="5490" spans="1:2" x14ac:dyDescent="0.3">
      <c r="A5490" t="s">
        <v>2872</v>
      </c>
      <c r="B5490" t="s">
        <v>2746</v>
      </c>
    </row>
    <row r="5491" spans="1:2" x14ac:dyDescent="0.3">
      <c r="A5491" t="s">
        <v>4816</v>
      </c>
      <c r="B5491" t="s">
        <v>246</v>
      </c>
    </row>
    <row r="5492" spans="1:2" x14ac:dyDescent="0.3">
      <c r="A5492" t="s">
        <v>3670</v>
      </c>
      <c r="B5492" t="s">
        <v>139</v>
      </c>
    </row>
    <row r="5493" spans="1:2" x14ac:dyDescent="0.3">
      <c r="A5493" t="s">
        <v>2743</v>
      </c>
      <c r="B5493" t="s">
        <v>2744</v>
      </c>
    </row>
    <row r="5494" spans="1:2" x14ac:dyDescent="0.3">
      <c r="A5494" t="s">
        <v>1511</v>
      </c>
      <c r="B5494" t="s">
        <v>1512</v>
      </c>
    </row>
    <row r="5495" spans="1:2" x14ac:dyDescent="0.3">
      <c r="A5495" t="s">
        <v>2784</v>
      </c>
      <c r="B5495" t="s">
        <v>119</v>
      </c>
    </row>
    <row r="5496" spans="1:2" x14ac:dyDescent="0.3">
      <c r="A5496" t="s">
        <v>465</v>
      </c>
      <c r="B5496" t="s">
        <v>119</v>
      </c>
    </row>
    <row r="5497" spans="1:2" x14ac:dyDescent="0.3">
      <c r="A5497" t="s">
        <v>4185</v>
      </c>
      <c r="B5497" t="s">
        <v>4186</v>
      </c>
    </row>
    <row r="5498" spans="1:2" x14ac:dyDescent="0.3">
      <c r="A5498" t="s">
        <v>4197</v>
      </c>
      <c r="B5498" t="s">
        <v>353</v>
      </c>
    </row>
    <row r="5499" spans="1:2" x14ac:dyDescent="0.3">
      <c r="A5499" t="s">
        <v>4183</v>
      </c>
      <c r="B5499" t="s">
        <v>336</v>
      </c>
    </row>
    <row r="5500" spans="1:2" x14ac:dyDescent="0.3">
      <c r="A5500" t="s">
        <v>4202</v>
      </c>
      <c r="B5500" t="s">
        <v>4203</v>
      </c>
    </row>
    <row r="5501" spans="1:2" x14ac:dyDescent="0.3">
      <c r="A5501" t="s">
        <v>4189</v>
      </c>
      <c r="B5501" t="s">
        <v>154</v>
      </c>
    </row>
    <row r="5502" spans="1:2" x14ac:dyDescent="0.3">
      <c r="A5502" t="s">
        <v>4193</v>
      </c>
      <c r="B5502" t="s">
        <v>2926</v>
      </c>
    </row>
    <row r="5503" spans="1:2" x14ac:dyDescent="0.3">
      <c r="A5503" t="s">
        <v>4194</v>
      </c>
      <c r="B5503" t="s">
        <v>4195</v>
      </c>
    </row>
    <row r="5504" spans="1:2" x14ac:dyDescent="0.3">
      <c r="A5504" t="s">
        <v>4206</v>
      </c>
      <c r="B5504" t="s">
        <v>336</v>
      </c>
    </row>
    <row r="5505" spans="1:2" x14ac:dyDescent="0.3">
      <c r="A5505" t="s">
        <v>4176</v>
      </c>
      <c r="B5505" t="s">
        <v>492</v>
      </c>
    </row>
    <row r="5506" spans="1:2" x14ac:dyDescent="0.3">
      <c r="A5506" t="s">
        <v>4175</v>
      </c>
      <c r="B5506" t="s">
        <v>136</v>
      </c>
    </row>
    <row r="5507" spans="1:2" x14ac:dyDescent="0.3">
      <c r="A5507" t="s">
        <v>4191</v>
      </c>
      <c r="B5507" t="s">
        <v>4192</v>
      </c>
    </row>
    <row r="5508" spans="1:2" x14ac:dyDescent="0.3">
      <c r="A5508" t="s">
        <v>4184</v>
      </c>
      <c r="B5508" t="s">
        <v>188</v>
      </c>
    </row>
    <row r="5509" spans="1:2" x14ac:dyDescent="0.3">
      <c r="A5509" t="s">
        <v>4188</v>
      </c>
      <c r="B5509" t="s">
        <v>188</v>
      </c>
    </row>
    <row r="5510" spans="1:2" x14ac:dyDescent="0.3">
      <c r="A5510" t="s">
        <v>4187</v>
      </c>
      <c r="B5510" t="s">
        <v>188</v>
      </c>
    </row>
    <row r="5511" spans="1:2" x14ac:dyDescent="0.3">
      <c r="A5511" t="s">
        <v>4190</v>
      </c>
      <c r="B5511" t="s">
        <v>188</v>
      </c>
    </row>
    <row r="5512" spans="1:2" x14ac:dyDescent="0.3">
      <c r="A5512" t="s">
        <v>4172</v>
      </c>
      <c r="B5512" t="s">
        <v>188</v>
      </c>
    </row>
    <row r="5513" spans="1:2" x14ac:dyDescent="0.3">
      <c r="A5513" t="s">
        <v>764</v>
      </c>
      <c r="B5513" t="s">
        <v>765</v>
      </c>
    </row>
    <row r="5514" spans="1:2" x14ac:dyDescent="0.3">
      <c r="A5514" t="s">
        <v>1846</v>
      </c>
      <c r="B5514" t="s">
        <v>246</v>
      </c>
    </row>
    <row r="5515" spans="1:2" x14ac:dyDescent="0.3">
      <c r="A5515" t="s">
        <v>1847</v>
      </c>
      <c r="B5515" t="s">
        <v>353</v>
      </c>
    </row>
    <row r="5516" spans="1:2" x14ac:dyDescent="0.3">
      <c r="A5516" t="s">
        <v>2458</v>
      </c>
      <c r="B5516" t="s">
        <v>366</v>
      </c>
    </row>
    <row r="5517" spans="1:2" x14ac:dyDescent="0.3">
      <c r="A5517" t="s">
        <v>2459</v>
      </c>
      <c r="B5517" t="s">
        <v>116</v>
      </c>
    </row>
    <row r="5518" spans="1:2" x14ac:dyDescent="0.3">
      <c r="A5518" t="s">
        <v>1177</v>
      </c>
      <c r="B5518" t="s">
        <v>1178</v>
      </c>
    </row>
    <row r="5519" spans="1:2" x14ac:dyDescent="0.3">
      <c r="A5519" t="s">
        <v>923</v>
      </c>
      <c r="B5519" t="s">
        <v>246</v>
      </c>
    </row>
    <row r="5520" spans="1:2" x14ac:dyDescent="0.3">
      <c r="A5520" t="s">
        <v>1848</v>
      </c>
      <c r="B5520" t="s">
        <v>353</v>
      </c>
    </row>
    <row r="5521" spans="1:2" x14ac:dyDescent="0.3">
      <c r="A5521" t="s">
        <v>762</v>
      </c>
      <c r="B5521" t="s">
        <v>763</v>
      </c>
    </row>
    <row r="5522" spans="1:2" x14ac:dyDescent="0.3">
      <c r="A5522" t="s">
        <v>1184</v>
      </c>
      <c r="B5522" t="s">
        <v>353</v>
      </c>
    </row>
    <row r="5523" spans="1:2" x14ac:dyDescent="0.3">
      <c r="A5523" t="s">
        <v>938</v>
      </c>
      <c r="B5523" t="s">
        <v>939</v>
      </c>
    </row>
    <row r="5524" spans="1:2" x14ac:dyDescent="0.3">
      <c r="A5524" t="s">
        <v>1186</v>
      </c>
      <c r="B5524" t="s">
        <v>18</v>
      </c>
    </row>
    <row r="5525" spans="1:2" x14ac:dyDescent="0.3">
      <c r="A5525" t="s">
        <v>1950</v>
      </c>
      <c r="B5525" t="s">
        <v>353</v>
      </c>
    </row>
    <row r="5526" spans="1:2" x14ac:dyDescent="0.3">
      <c r="A5526" t="s">
        <v>1719</v>
      </c>
      <c r="B5526" t="s">
        <v>116</v>
      </c>
    </row>
    <row r="5527" spans="1:2" x14ac:dyDescent="0.3">
      <c r="A5527" t="s">
        <v>1849</v>
      </c>
      <c r="B5527" t="s">
        <v>561</v>
      </c>
    </row>
    <row r="5528" spans="1:2" x14ac:dyDescent="0.3">
      <c r="A5528" t="s">
        <v>1185</v>
      </c>
      <c r="B5528" t="s">
        <v>372</v>
      </c>
    </row>
    <row r="5529" spans="1:2" x14ac:dyDescent="0.3">
      <c r="A5529" t="s">
        <v>1850</v>
      </c>
      <c r="B5529" t="s">
        <v>353</v>
      </c>
    </row>
    <row r="5530" spans="1:2" x14ac:dyDescent="0.3">
      <c r="A5530" t="s">
        <v>1951</v>
      </c>
      <c r="B5530" t="s">
        <v>246</v>
      </c>
    </row>
    <row r="5531" spans="1:2" x14ac:dyDescent="0.3">
      <c r="A5531" t="s">
        <v>2603</v>
      </c>
      <c r="B5531" t="s">
        <v>2604</v>
      </c>
    </row>
    <row r="5532" spans="1:2" x14ac:dyDescent="0.3">
      <c r="A5532" t="s">
        <v>1581</v>
      </c>
    </row>
    <row r="5533" spans="1:2" x14ac:dyDescent="0.3">
      <c r="A5533" t="s">
        <v>472</v>
      </c>
      <c r="B5533" t="s">
        <v>13</v>
      </c>
    </row>
    <row r="5534" spans="1:2" x14ac:dyDescent="0.3">
      <c r="A5534" t="s">
        <v>513</v>
      </c>
    </row>
    <row r="5535" spans="1:2" x14ac:dyDescent="0.3">
      <c r="A5535" t="s">
        <v>240</v>
      </c>
      <c r="B5535" t="s">
        <v>13</v>
      </c>
    </row>
    <row r="5536" spans="1:2" x14ac:dyDescent="0.3">
      <c r="A5536" t="s">
        <v>104</v>
      </c>
      <c r="B5536" t="s">
        <v>13</v>
      </c>
    </row>
    <row r="5537" spans="1:2" x14ac:dyDescent="0.3">
      <c r="A5537" t="s">
        <v>241</v>
      </c>
      <c r="B5537" t="s">
        <v>13</v>
      </c>
    </row>
    <row r="5538" spans="1:2" x14ac:dyDescent="0.3">
      <c r="A5538" t="s">
        <v>2278</v>
      </c>
    </row>
    <row r="5539" spans="1:2" x14ac:dyDescent="0.3">
      <c r="A5539" t="s">
        <v>2213</v>
      </c>
      <c r="B5539" t="s">
        <v>129</v>
      </c>
    </row>
    <row r="5540" spans="1:2" x14ac:dyDescent="0.3">
      <c r="A5540" t="s">
        <v>1784</v>
      </c>
      <c r="B5540" t="s">
        <v>7</v>
      </c>
    </row>
    <row r="5541" spans="1:2" x14ac:dyDescent="0.3">
      <c r="A5541" t="s">
        <v>2800</v>
      </c>
      <c r="B5541" t="s">
        <v>13</v>
      </c>
    </row>
    <row r="5542" spans="1:2" x14ac:dyDescent="0.3">
      <c r="A5542" t="s">
        <v>334</v>
      </c>
      <c r="B5542" t="s">
        <v>13</v>
      </c>
    </row>
    <row r="5543" spans="1:2" x14ac:dyDescent="0.3">
      <c r="A5543" t="s">
        <v>4418</v>
      </c>
      <c r="B5543" t="s">
        <v>13</v>
      </c>
    </row>
    <row r="5544" spans="1:2" x14ac:dyDescent="0.3">
      <c r="A5544" t="s">
        <v>213</v>
      </c>
      <c r="B5544" t="s">
        <v>106</v>
      </c>
    </row>
    <row r="5545" spans="1:2" x14ac:dyDescent="0.3">
      <c r="A5545" t="s">
        <v>105</v>
      </c>
      <c r="B5545" t="s">
        <v>106</v>
      </c>
    </row>
    <row r="5546" spans="1:2" x14ac:dyDescent="0.3">
      <c r="A5546" t="s">
        <v>4744</v>
      </c>
      <c r="B5546" t="s">
        <v>4745</v>
      </c>
    </row>
    <row r="5547" spans="1:2" x14ac:dyDescent="0.3">
      <c r="A5547" t="s">
        <v>3943</v>
      </c>
      <c r="B5547" t="s">
        <v>3944</v>
      </c>
    </row>
    <row r="5548" spans="1:2" x14ac:dyDescent="0.3">
      <c r="A5548" t="s">
        <v>3213</v>
      </c>
      <c r="B5548" t="s">
        <v>3214</v>
      </c>
    </row>
    <row r="5549" spans="1:2" x14ac:dyDescent="0.3">
      <c r="A5549" t="s">
        <v>685</v>
      </c>
      <c r="B5549" t="s">
        <v>20</v>
      </c>
    </row>
    <row r="5550" spans="1:2" x14ac:dyDescent="0.3">
      <c r="A5550" t="s">
        <v>1911</v>
      </c>
      <c r="B5550" t="s">
        <v>1912</v>
      </c>
    </row>
    <row r="5551" spans="1:2" x14ac:dyDescent="0.3">
      <c r="A5551" t="s">
        <v>1913</v>
      </c>
      <c r="B5551" t="s">
        <v>1914</v>
      </c>
    </row>
    <row r="5552" spans="1:2" x14ac:dyDescent="0.3">
      <c r="A5552" t="s">
        <v>1909</v>
      </c>
      <c r="B5552" t="s">
        <v>492</v>
      </c>
    </row>
    <row r="5553" spans="1:2" x14ac:dyDescent="0.3">
      <c r="A5553" t="s">
        <v>2122</v>
      </c>
      <c r="B5553" t="s">
        <v>1941</v>
      </c>
    </row>
    <row r="5554" spans="1:2" x14ac:dyDescent="0.3">
      <c r="A5554" t="s">
        <v>2121</v>
      </c>
      <c r="B5554" t="s">
        <v>2120</v>
      </c>
    </row>
    <row r="5555" spans="1:2" x14ac:dyDescent="0.3">
      <c r="A5555" t="s">
        <v>2119</v>
      </c>
      <c r="B5555" t="s">
        <v>2120</v>
      </c>
    </row>
    <row r="5556" spans="1:2" x14ac:dyDescent="0.3">
      <c r="A5556" t="s">
        <v>1578</v>
      </c>
    </row>
    <row r="5557" spans="1:2" x14ac:dyDescent="0.3">
      <c r="A5557" t="s">
        <v>1507</v>
      </c>
    </row>
    <row r="5558" spans="1:2" x14ac:dyDescent="0.3">
      <c r="A5558" t="s">
        <v>1594</v>
      </c>
      <c r="B5558" t="s">
        <v>1595</v>
      </c>
    </row>
    <row r="5559" spans="1:2" x14ac:dyDescent="0.3">
      <c r="A5559" t="s">
        <v>826</v>
      </c>
      <c r="B5559" t="s">
        <v>827</v>
      </c>
    </row>
    <row r="5560" spans="1:2" x14ac:dyDescent="0.3">
      <c r="A5560" t="s">
        <v>1418</v>
      </c>
      <c r="B5560" t="s">
        <v>1419</v>
      </c>
    </row>
    <row r="5561" spans="1:2" x14ac:dyDescent="0.3">
      <c r="A5561" t="s">
        <v>3772</v>
      </c>
      <c r="B5561" t="s">
        <v>492</v>
      </c>
    </row>
    <row r="5562" spans="1:2" x14ac:dyDescent="0.3">
      <c r="A5562" t="s">
        <v>3081</v>
      </c>
      <c r="B5562" t="s">
        <v>3082</v>
      </c>
    </row>
    <row r="5563" spans="1:2" x14ac:dyDescent="0.3">
      <c r="A5563" t="s">
        <v>3330</v>
      </c>
      <c r="B5563" t="s">
        <v>492</v>
      </c>
    </row>
    <row r="5564" spans="1:2" x14ac:dyDescent="0.3">
      <c r="A5564" t="s">
        <v>3745</v>
      </c>
      <c r="B5564" t="s">
        <v>1419</v>
      </c>
    </row>
    <row r="5565" spans="1:2" x14ac:dyDescent="0.3">
      <c r="A5565" t="s">
        <v>3744</v>
      </c>
      <c r="B5565" t="s">
        <v>492</v>
      </c>
    </row>
    <row r="5566" spans="1:2" x14ac:dyDescent="0.3">
      <c r="A5566" t="s">
        <v>915</v>
      </c>
      <c r="B5566" t="s">
        <v>916</v>
      </c>
    </row>
    <row r="5567" spans="1:2" x14ac:dyDescent="0.3">
      <c r="A5567" t="s">
        <v>3707</v>
      </c>
      <c r="B5567" t="s">
        <v>1940</v>
      </c>
    </row>
    <row r="5568" spans="1:2" x14ac:dyDescent="0.3">
      <c r="A5568" t="s">
        <v>2527</v>
      </c>
      <c r="B5568" t="s">
        <v>1417</v>
      </c>
    </row>
    <row r="5569" spans="1:2" x14ac:dyDescent="0.3">
      <c r="A5569" t="s">
        <v>1416</v>
      </c>
      <c r="B5569" t="s">
        <v>1417</v>
      </c>
    </row>
    <row r="5570" spans="1:2" x14ac:dyDescent="0.3">
      <c r="A5570" t="s">
        <v>3396</v>
      </c>
      <c r="B5570" t="s">
        <v>492</v>
      </c>
    </row>
    <row r="5571" spans="1:2" x14ac:dyDescent="0.3">
      <c r="A5571" t="s">
        <v>4799</v>
      </c>
      <c r="B5571" t="s">
        <v>4800</v>
      </c>
    </row>
    <row r="5572" spans="1:2" x14ac:dyDescent="0.3">
      <c r="A5572" t="s">
        <v>2508</v>
      </c>
      <c r="B5572" t="s">
        <v>2509</v>
      </c>
    </row>
    <row r="5573" spans="1:2" x14ac:dyDescent="0.3">
      <c r="A5573" t="s">
        <v>3519</v>
      </c>
      <c r="B5573" t="s">
        <v>188</v>
      </c>
    </row>
    <row r="5574" spans="1:2" x14ac:dyDescent="0.3">
      <c r="A5574" t="s">
        <v>3297</v>
      </c>
      <c r="B5574" t="s">
        <v>188</v>
      </c>
    </row>
    <row r="5575" spans="1:2" x14ac:dyDescent="0.3">
      <c r="A5575" t="s">
        <v>3079</v>
      </c>
      <c r="B5575" t="s">
        <v>3080</v>
      </c>
    </row>
    <row r="5576" spans="1:2" x14ac:dyDescent="0.3">
      <c r="A5576" t="s">
        <v>2773</v>
      </c>
      <c r="B5576" t="s">
        <v>132</v>
      </c>
    </row>
    <row r="5577" spans="1:2" x14ac:dyDescent="0.3">
      <c r="A5577" t="s">
        <v>3969</v>
      </c>
      <c r="B5577" t="s">
        <v>3970</v>
      </c>
    </row>
    <row r="5578" spans="1:2" x14ac:dyDescent="0.3">
      <c r="A5578" t="s">
        <v>412</v>
      </c>
      <c r="B5578" t="s">
        <v>413</v>
      </c>
    </row>
    <row r="5579" spans="1:2" x14ac:dyDescent="0.3">
      <c r="A5579" t="s">
        <v>2849</v>
      </c>
      <c r="B5579" t="s">
        <v>470</v>
      </c>
    </row>
    <row r="5580" spans="1:2" x14ac:dyDescent="0.3">
      <c r="A5580" t="s">
        <v>94</v>
      </c>
      <c r="B5580" t="s">
        <v>13</v>
      </c>
    </row>
    <row r="5581" spans="1:2" x14ac:dyDescent="0.3">
      <c r="A5581" t="s">
        <v>3826</v>
      </c>
      <c r="B5581" t="s">
        <v>3827</v>
      </c>
    </row>
    <row r="5582" spans="1:2" x14ac:dyDescent="0.3">
      <c r="A5582" t="s">
        <v>2015</v>
      </c>
      <c r="B5582" t="s">
        <v>494</v>
      </c>
    </row>
    <row r="5583" spans="1:2" x14ac:dyDescent="0.3">
      <c r="A5583" t="s">
        <v>2702</v>
      </c>
      <c r="B5583" t="s">
        <v>494</v>
      </c>
    </row>
    <row r="5584" spans="1:2" x14ac:dyDescent="0.3">
      <c r="A5584" t="s">
        <v>769</v>
      </c>
      <c r="B5584" t="s">
        <v>770</v>
      </c>
    </row>
    <row r="5585" spans="1:2" x14ac:dyDescent="0.3">
      <c r="A5585" t="s">
        <v>1296</v>
      </c>
    </row>
    <row r="5586" spans="1:2" x14ac:dyDescent="0.3">
      <c r="A5586" t="s">
        <v>795</v>
      </c>
      <c r="B5586" t="s">
        <v>796</v>
      </c>
    </row>
    <row r="5587" spans="1:2" x14ac:dyDescent="0.3">
      <c r="A5587" t="s">
        <v>3697</v>
      </c>
      <c r="B5587" t="s">
        <v>470</v>
      </c>
    </row>
    <row r="5588" spans="1:2" x14ac:dyDescent="0.3">
      <c r="A5588" t="s">
        <v>2065</v>
      </c>
      <c r="B5588" t="s">
        <v>175</v>
      </c>
    </row>
    <row r="5589" spans="1:2" x14ac:dyDescent="0.3">
      <c r="A5589" t="s">
        <v>3105</v>
      </c>
      <c r="B5589" t="s">
        <v>3106</v>
      </c>
    </row>
    <row r="5590" spans="1:2" x14ac:dyDescent="0.3">
      <c r="A5590" t="s">
        <v>3135</v>
      </c>
      <c r="B5590" t="s">
        <v>175</v>
      </c>
    </row>
    <row r="5591" spans="1:2" x14ac:dyDescent="0.3">
      <c r="A5591" t="s">
        <v>1610</v>
      </c>
      <c r="B5591" t="s">
        <v>1611</v>
      </c>
    </row>
    <row r="5592" spans="1:2" x14ac:dyDescent="0.3">
      <c r="A5592" t="s">
        <v>1086</v>
      </c>
    </row>
    <row r="5593" spans="1:2" x14ac:dyDescent="0.3">
      <c r="A5593" t="s">
        <v>2511</v>
      </c>
      <c r="B5593" t="s">
        <v>2512</v>
      </c>
    </row>
    <row r="5594" spans="1:2" x14ac:dyDescent="0.3">
      <c r="A5594" t="s">
        <v>2266</v>
      </c>
      <c r="B5594" t="s">
        <v>2267</v>
      </c>
    </row>
    <row r="5595" spans="1:2" x14ac:dyDescent="0.3">
      <c r="A5595" t="s">
        <v>2265</v>
      </c>
      <c r="B5595" t="s">
        <v>1879</v>
      </c>
    </row>
    <row r="5596" spans="1:2" x14ac:dyDescent="0.3">
      <c r="A5596" t="s">
        <v>335</v>
      </c>
      <c r="B5596" t="s">
        <v>220</v>
      </c>
    </row>
    <row r="5597" spans="1:2" x14ac:dyDescent="0.3">
      <c r="A5597" t="s">
        <v>423</v>
      </c>
      <c r="B5597" t="s">
        <v>424</v>
      </c>
    </row>
    <row r="5598" spans="1:2" x14ac:dyDescent="0.3">
      <c r="A5598" t="s">
        <v>219</v>
      </c>
      <c r="B5598" t="s">
        <v>220</v>
      </c>
    </row>
    <row r="5599" spans="1:2" x14ac:dyDescent="0.3">
      <c r="A5599" t="s">
        <v>221</v>
      </c>
      <c r="B5599" t="s">
        <v>220</v>
      </c>
    </row>
    <row r="5600" spans="1:2" x14ac:dyDescent="0.3">
      <c r="A5600" t="s">
        <v>2305</v>
      </c>
      <c r="B5600" t="s">
        <v>546</v>
      </c>
    </row>
    <row r="5601" spans="1:2" x14ac:dyDescent="0.3">
      <c r="A5601" t="s">
        <v>1500</v>
      </c>
      <c r="B5601" t="s">
        <v>448</v>
      </c>
    </row>
    <row r="5602" spans="1:2" x14ac:dyDescent="0.3">
      <c r="A5602" t="s">
        <v>447</v>
      </c>
      <c r="B5602" t="s">
        <v>448</v>
      </c>
    </row>
    <row r="5603" spans="1:2" x14ac:dyDescent="0.3">
      <c r="A5603" t="s">
        <v>545</v>
      </c>
      <c r="B5603" t="s">
        <v>546</v>
      </c>
    </row>
    <row r="5604" spans="1:2" x14ac:dyDescent="0.3">
      <c r="A5604" t="s">
        <v>683</v>
      </c>
      <c r="B5604" t="s">
        <v>511</v>
      </c>
    </row>
    <row r="5605" spans="1:2" x14ac:dyDescent="0.3">
      <c r="A5605" t="s">
        <v>1530</v>
      </c>
      <c r="B5605" t="s">
        <v>1531</v>
      </c>
    </row>
    <row r="5606" spans="1:2" x14ac:dyDescent="0.3">
      <c r="A5606" t="s">
        <v>2835</v>
      </c>
      <c r="B5606" t="s">
        <v>2836</v>
      </c>
    </row>
    <row r="5607" spans="1:2" x14ac:dyDescent="0.3">
      <c r="A5607" t="s">
        <v>2472</v>
      </c>
      <c r="B5607" t="s">
        <v>181</v>
      </c>
    </row>
    <row r="5608" spans="1:2" x14ac:dyDescent="0.3">
      <c r="A5608" t="s">
        <v>191</v>
      </c>
      <c r="B5608" t="s">
        <v>181</v>
      </c>
    </row>
    <row r="5609" spans="1:2" x14ac:dyDescent="0.3">
      <c r="A5609" t="s">
        <v>2902</v>
      </c>
      <c r="B5609" t="s">
        <v>2903</v>
      </c>
    </row>
    <row r="5610" spans="1:2" x14ac:dyDescent="0.3">
      <c r="A5610" t="s">
        <v>2510</v>
      </c>
      <c r="B5610" t="s">
        <v>490</v>
      </c>
    </row>
    <row r="5611" spans="1:2" x14ac:dyDescent="0.3">
      <c r="A5611" t="s">
        <v>592</v>
      </c>
      <c r="B5611" t="s">
        <v>188</v>
      </c>
    </row>
    <row r="5612" spans="1:2" x14ac:dyDescent="0.3">
      <c r="A5612" t="s">
        <v>586</v>
      </c>
      <c r="B5612" t="s">
        <v>188</v>
      </c>
    </row>
    <row r="5613" spans="1:2" x14ac:dyDescent="0.3">
      <c r="A5613" t="s">
        <v>578</v>
      </c>
      <c r="B5613" t="s">
        <v>188</v>
      </c>
    </row>
    <row r="5614" spans="1:2" x14ac:dyDescent="0.3">
      <c r="A5614" t="s">
        <v>571</v>
      </c>
      <c r="B5614" t="s">
        <v>188</v>
      </c>
    </row>
    <row r="5615" spans="1:2" x14ac:dyDescent="0.3">
      <c r="A5615" t="s">
        <v>593</v>
      </c>
      <c r="B5615" t="s">
        <v>188</v>
      </c>
    </row>
    <row r="5616" spans="1:2" x14ac:dyDescent="0.3">
      <c r="A5616" t="s">
        <v>579</v>
      </c>
      <c r="B5616" t="s">
        <v>188</v>
      </c>
    </row>
    <row r="5617" spans="1:2" x14ac:dyDescent="0.3">
      <c r="A5617" t="s">
        <v>600</v>
      </c>
      <c r="B5617" t="s">
        <v>188</v>
      </c>
    </row>
    <row r="5618" spans="1:2" x14ac:dyDescent="0.3">
      <c r="A5618" t="s">
        <v>601</v>
      </c>
      <c r="B5618" t="s">
        <v>188</v>
      </c>
    </row>
    <row r="5619" spans="1:2" x14ac:dyDescent="0.3">
      <c r="A5619" t="s">
        <v>583</v>
      </c>
      <c r="B5619" t="s">
        <v>188</v>
      </c>
    </row>
    <row r="5620" spans="1:2" x14ac:dyDescent="0.3">
      <c r="A5620" t="s">
        <v>584</v>
      </c>
      <c r="B5620" t="s">
        <v>336</v>
      </c>
    </row>
    <row r="5621" spans="1:2" x14ac:dyDescent="0.3">
      <c r="A5621" t="s">
        <v>585</v>
      </c>
      <c r="B5621" t="s">
        <v>188</v>
      </c>
    </row>
    <row r="5622" spans="1:2" x14ac:dyDescent="0.3">
      <c r="A5622" t="s">
        <v>589</v>
      </c>
      <c r="B5622" t="s">
        <v>590</v>
      </c>
    </row>
    <row r="5623" spans="1:2" x14ac:dyDescent="0.3">
      <c r="A5623" t="s">
        <v>2516</v>
      </c>
      <c r="B5623" t="s">
        <v>136</v>
      </c>
    </row>
    <row r="5624" spans="1:2" x14ac:dyDescent="0.3">
      <c r="A5624" t="s">
        <v>2515</v>
      </c>
      <c r="B5624" t="s">
        <v>136</v>
      </c>
    </row>
    <row r="5625" spans="1:2" x14ac:dyDescent="0.3">
      <c r="A5625" t="s">
        <v>2625</v>
      </c>
      <c r="B5625" t="s">
        <v>2626</v>
      </c>
    </row>
    <row r="5626" spans="1:2" x14ac:dyDescent="0.3">
      <c r="A5626" t="s">
        <v>2513</v>
      </c>
      <c r="B5626" t="s">
        <v>2514</v>
      </c>
    </row>
    <row r="5627" spans="1:2" x14ac:dyDescent="0.3">
      <c r="A5627" t="s">
        <v>2850</v>
      </c>
      <c r="B5627" t="s">
        <v>139</v>
      </c>
    </row>
    <row r="5628" spans="1:2" x14ac:dyDescent="0.3">
      <c r="A5628" t="s">
        <v>3793</v>
      </c>
      <c r="B5628" t="s">
        <v>246</v>
      </c>
    </row>
    <row r="5629" spans="1:2" x14ac:dyDescent="0.3">
      <c r="A5629" t="s">
        <v>3524</v>
      </c>
      <c r="B5629" t="s">
        <v>246</v>
      </c>
    </row>
    <row r="5630" spans="1:2" x14ac:dyDescent="0.3">
      <c r="A5630" t="s">
        <v>3043</v>
      </c>
      <c r="B5630" t="s">
        <v>246</v>
      </c>
    </row>
    <row r="5631" spans="1:2" x14ac:dyDescent="0.3">
      <c r="A5631" t="s">
        <v>4137</v>
      </c>
      <c r="B5631" t="s">
        <v>181</v>
      </c>
    </row>
    <row r="5632" spans="1:2" x14ac:dyDescent="0.3">
      <c r="A5632" t="s">
        <v>3380</v>
      </c>
      <c r="B5632" t="s">
        <v>2473</v>
      </c>
    </row>
    <row r="5633" spans="1:2" x14ac:dyDescent="0.3">
      <c r="A5633" t="s">
        <v>1106</v>
      </c>
      <c r="B5633" t="s">
        <v>1107</v>
      </c>
    </row>
    <row r="5634" spans="1:2" x14ac:dyDescent="0.3">
      <c r="A5634" t="s">
        <v>3009</v>
      </c>
      <c r="B5634" t="s">
        <v>136</v>
      </c>
    </row>
    <row r="5635" spans="1:2" x14ac:dyDescent="0.3">
      <c r="A5635" t="s">
        <v>3509</v>
      </c>
      <c r="B5635" t="s">
        <v>2509</v>
      </c>
    </row>
    <row r="5636" spans="1:2" x14ac:dyDescent="0.3">
      <c r="A5636" t="s">
        <v>3508</v>
      </c>
      <c r="B5636" t="s">
        <v>2509</v>
      </c>
    </row>
    <row r="5637" spans="1:2" x14ac:dyDescent="0.3">
      <c r="A5637" t="s">
        <v>2244</v>
      </c>
      <c r="B5637" t="s">
        <v>492</v>
      </c>
    </row>
    <row r="5638" spans="1:2" x14ac:dyDescent="0.3">
      <c r="A5638" t="s">
        <v>1939</v>
      </c>
      <c r="B5638" t="s">
        <v>1940</v>
      </c>
    </row>
    <row r="5639" spans="1:2" x14ac:dyDescent="0.3">
      <c r="A5639" t="s">
        <v>272</v>
      </c>
      <c r="B5639" t="s">
        <v>273</v>
      </c>
    </row>
    <row r="5640" spans="1:2" x14ac:dyDescent="0.3">
      <c r="A5640" t="s">
        <v>2467</v>
      </c>
      <c r="B5640" t="s">
        <v>2468</v>
      </c>
    </row>
    <row r="5641" spans="1:2" x14ac:dyDescent="0.3">
      <c r="A5641" t="s">
        <v>2627</v>
      </c>
      <c r="B5641" t="s">
        <v>2626</v>
      </c>
    </row>
    <row r="5642" spans="1:2" x14ac:dyDescent="0.3">
      <c r="A5642" t="s">
        <v>684</v>
      </c>
    </row>
    <row r="5643" spans="1:2" x14ac:dyDescent="0.3">
      <c r="A5643" t="s">
        <v>215</v>
      </c>
      <c r="B5643" t="s">
        <v>216</v>
      </c>
    </row>
    <row r="5644" spans="1:2" x14ac:dyDescent="0.3">
      <c r="A5644" t="s">
        <v>222</v>
      </c>
      <c r="B5644" t="s">
        <v>223</v>
      </c>
    </row>
    <row r="5645" spans="1:2" x14ac:dyDescent="0.3">
      <c r="A5645" t="s">
        <v>217</v>
      </c>
      <c r="B5645" t="s">
        <v>218</v>
      </c>
    </row>
    <row r="5646" spans="1:2" x14ac:dyDescent="0.3">
      <c r="A5646" t="s">
        <v>1724</v>
      </c>
    </row>
    <row r="5647" spans="1:2" x14ac:dyDescent="0.3">
      <c r="A5647" t="s">
        <v>2853</v>
      </c>
      <c r="B5647" t="s">
        <v>13</v>
      </c>
    </row>
    <row r="5648" spans="1:2" x14ac:dyDescent="0.3">
      <c r="A5648" t="s">
        <v>2873</v>
      </c>
      <c r="B5648" t="s">
        <v>13</v>
      </c>
    </row>
    <row r="5649" spans="1:2" x14ac:dyDescent="0.3">
      <c r="A5649" t="s">
        <v>2848</v>
      </c>
      <c r="B5649" t="s">
        <v>13</v>
      </c>
    </row>
    <row r="5650" spans="1:2" x14ac:dyDescent="0.3">
      <c r="A5650" t="s">
        <v>2953</v>
      </c>
      <c r="B5650" t="s">
        <v>13</v>
      </c>
    </row>
    <row r="5651" spans="1:2" x14ac:dyDescent="0.3">
      <c r="A5651" t="s">
        <v>1103</v>
      </c>
      <c r="B5651" t="s">
        <v>314</v>
      </c>
    </row>
    <row r="5652" spans="1:2" x14ac:dyDescent="0.3">
      <c r="A5652" t="s">
        <v>1104</v>
      </c>
      <c r="B5652" t="s">
        <v>314</v>
      </c>
    </row>
    <row r="5653" spans="1:2" x14ac:dyDescent="0.3">
      <c r="A5653" t="s">
        <v>3323</v>
      </c>
      <c r="B5653" t="s">
        <v>3324</v>
      </c>
    </row>
    <row r="5654" spans="1:2" x14ac:dyDescent="0.3">
      <c r="A5654" t="s">
        <v>3317</v>
      </c>
      <c r="B5654" t="s">
        <v>3318</v>
      </c>
    </row>
    <row r="5655" spans="1:2" x14ac:dyDescent="0.3">
      <c r="A5655" t="s">
        <v>1425</v>
      </c>
      <c r="B5655" t="s">
        <v>1426</v>
      </c>
    </row>
    <row r="5656" spans="1:2" x14ac:dyDescent="0.3">
      <c r="A5656" t="s">
        <v>4090</v>
      </c>
      <c r="B5656" t="s">
        <v>119</v>
      </c>
    </row>
    <row r="5657" spans="1:2" x14ac:dyDescent="0.3">
      <c r="A5657" t="s">
        <v>2092</v>
      </c>
      <c r="B5657" t="s">
        <v>1237</v>
      </c>
    </row>
    <row r="5658" spans="1:2" x14ac:dyDescent="0.3">
      <c r="A5658" t="s">
        <v>4509</v>
      </c>
      <c r="B5658" t="s">
        <v>11</v>
      </c>
    </row>
    <row r="5659" spans="1:2" x14ac:dyDescent="0.3">
      <c r="A5659" t="s">
        <v>2668</v>
      </c>
      <c r="B5659" t="s">
        <v>11</v>
      </c>
    </row>
    <row r="5660" spans="1:2" x14ac:dyDescent="0.3">
      <c r="A5660" t="s">
        <v>1302</v>
      </c>
    </row>
    <row r="5661" spans="1:2" x14ac:dyDescent="0.3">
      <c r="A5661" t="s">
        <v>2669</v>
      </c>
      <c r="B5661" t="s">
        <v>2670</v>
      </c>
    </row>
    <row r="5662" spans="1:2" x14ac:dyDescent="0.3">
      <c r="A5662" t="s">
        <v>2559</v>
      </c>
      <c r="B5662" t="s">
        <v>2560</v>
      </c>
    </row>
    <row r="5663" spans="1:2" x14ac:dyDescent="0.3">
      <c r="A5663" t="s">
        <v>2561</v>
      </c>
      <c r="B5663" t="s">
        <v>2560</v>
      </c>
    </row>
    <row r="5664" spans="1:2" x14ac:dyDescent="0.3">
      <c r="A5664" t="s">
        <v>174</v>
      </c>
      <c r="B5664" t="s">
        <v>175</v>
      </c>
    </row>
    <row r="5665" spans="1:2" x14ac:dyDescent="0.3">
      <c r="A5665" t="s">
        <v>732</v>
      </c>
      <c r="B5665" t="s">
        <v>733</v>
      </c>
    </row>
    <row r="5666" spans="1:2" x14ac:dyDescent="0.3">
      <c r="A5666" t="s">
        <v>1508</v>
      </c>
      <c r="B5666" t="s">
        <v>1509</v>
      </c>
    </row>
    <row r="5667" spans="1:2" x14ac:dyDescent="0.3">
      <c r="A5667" t="s">
        <v>411</v>
      </c>
    </row>
    <row r="5668" spans="1:2" x14ac:dyDescent="0.3">
      <c r="A5668" t="s">
        <v>432</v>
      </c>
    </row>
    <row r="5669" spans="1:2" x14ac:dyDescent="0.3">
      <c r="A5669" t="s">
        <v>362</v>
      </c>
      <c r="B5669" t="s">
        <v>119</v>
      </c>
    </row>
    <row r="5670" spans="1:2" x14ac:dyDescent="0.3">
      <c r="A5670" t="s">
        <v>3460</v>
      </c>
      <c r="B5670" t="s">
        <v>3461</v>
      </c>
    </row>
    <row r="5671" spans="1:2" x14ac:dyDescent="0.3">
      <c r="A5671" t="s">
        <v>3533</v>
      </c>
      <c r="B5671" t="s">
        <v>3534</v>
      </c>
    </row>
    <row r="5672" spans="1:2" x14ac:dyDescent="0.3">
      <c r="A5672" t="s">
        <v>1149</v>
      </c>
      <c r="B5672" t="s">
        <v>1150</v>
      </c>
    </row>
    <row r="5673" spans="1:2" x14ac:dyDescent="0.3">
      <c r="A5673" t="s">
        <v>3787</v>
      </c>
      <c r="B5673" t="s">
        <v>786</v>
      </c>
    </row>
  </sheetData>
  <autoFilter ref="B1:B5678"/>
  <sortState ref="A1:B5674">
    <sortCondition ref="A1:A5674"/>
  </sortState>
  <pageMargins left="0.7" right="0.7" top="0.75" bottom="0.75" header="0.3" footer="0.3"/>
  <pageSetup orientation="portrait" r:id="rId1"/>
  <headerFooter>
    <oddHeader>&amp;L&amp;"-,Bold"&amp;20SHENZHEN TOPCAST IMPORT &amp; EXPORT CO., LTD.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Lam</dc:creator>
  <cp:lastModifiedBy>Ricky Lam</cp:lastModifiedBy>
  <cp:lastPrinted>2015-01-19T04:43:38Z</cp:lastPrinted>
  <dcterms:created xsi:type="dcterms:W3CDTF">2015-01-19T03:59:40Z</dcterms:created>
  <dcterms:modified xsi:type="dcterms:W3CDTF">2015-01-19T04:43:45Z</dcterms:modified>
</cp:coreProperties>
</file>